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M:\COH\OHIO PROVIDER RESOURCE ASSOC (14337.000)\Healthcare\"/>
    </mc:Choice>
  </mc:AlternateContent>
  <xr:revisionPtr revIDLastSave="0" documentId="8_{35C275FC-B507-480D-81C0-054E2B529768}" xr6:coauthVersionLast="40" xr6:coauthVersionMax="40" xr10:uidLastSave="{00000000-0000-0000-0000-000000000000}"/>
  <bookViews>
    <workbookView xWindow="-28920" yWindow="-120" windowWidth="29040" windowHeight="15840" firstSheet="5" activeTab="6" xr2:uid="{00000000-000D-0000-FFFF-FFFF00000000}"/>
  </bookViews>
  <sheets>
    <sheet name="Proj NMT OWT 1-4 veh." sheetId="7" r:id="rId1"/>
    <sheet name="Proj NMT OWT 5+ Veh." sheetId="6" r:id="rId2"/>
    <sheet name="FY 2017 NMT Analysis" sheetId="5" r:id="rId3"/>
    <sheet name="Proj Mileage w-Mod. Vehicle" sheetId="4" r:id="rId4"/>
    <sheet name="Proj Mileage wo-Mod. Veh." sheetId="3" r:id="rId5"/>
    <sheet name="FY 2017 Mileage Analysis" sheetId="2" r:id="rId6"/>
    <sheet name="Summary" sheetId="8" r:id="rId7"/>
    <sheet name="Requested Data" sheetId="9" r:id="rId8"/>
    <sheet name="DODD Data" sheetId="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7" l="1"/>
  <c r="D30" i="7"/>
  <c r="D29" i="7"/>
  <c r="D23" i="7"/>
  <c r="D22" i="7"/>
  <c r="D21" i="7"/>
  <c r="D7" i="7"/>
  <c r="D6" i="7"/>
  <c r="D5" i="7"/>
  <c r="D31" i="6"/>
  <c r="D30" i="6"/>
  <c r="D29" i="6"/>
  <c r="D23" i="6"/>
  <c r="D22" i="6"/>
  <c r="D21" i="6"/>
  <c r="D7" i="6"/>
  <c r="D6" i="6"/>
  <c r="D5" i="6"/>
  <c r="C23" i="5"/>
  <c r="D23" i="5" s="1"/>
  <c r="B23" i="5"/>
  <c r="C22" i="5"/>
  <c r="D22" i="5" s="1"/>
  <c r="B22" i="5"/>
  <c r="C21" i="5"/>
  <c r="B21" i="5"/>
  <c r="C15" i="5"/>
  <c r="D15" i="5" s="1"/>
  <c r="B15" i="5"/>
  <c r="B7" i="5" s="1"/>
  <c r="C14" i="5"/>
  <c r="B14" i="5"/>
  <c r="C13" i="5"/>
  <c r="B13" i="5"/>
  <c r="B47" i="4"/>
  <c r="C47" i="4" s="1"/>
  <c r="B46" i="4"/>
  <c r="B45" i="4"/>
  <c r="B39" i="4"/>
  <c r="B38" i="4"/>
  <c r="C38" i="4" s="1"/>
  <c r="B37" i="4"/>
  <c r="B23" i="4"/>
  <c r="B22" i="4"/>
  <c r="B21" i="4"/>
  <c r="C21" i="4" s="1"/>
  <c r="B15" i="4"/>
  <c r="B14" i="4"/>
  <c r="B13" i="4"/>
  <c r="C46" i="4"/>
  <c r="C23" i="4"/>
  <c r="C22" i="4"/>
  <c r="B25" i="4"/>
  <c r="E22" i="4" s="1"/>
  <c r="C14" i="4"/>
  <c r="C23" i="3"/>
  <c r="B23" i="3"/>
  <c r="B22" i="3"/>
  <c r="C21" i="3"/>
  <c r="B21" i="3"/>
  <c r="B15" i="3"/>
  <c r="C15" i="3" s="1"/>
  <c r="B14" i="3"/>
  <c r="C14" i="3" s="1"/>
  <c r="B13" i="3"/>
  <c r="D31" i="2"/>
  <c r="D30" i="2"/>
  <c r="D29" i="2"/>
  <c r="B7" i="6" l="1"/>
  <c r="B7" i="7"/>
  <c r="C7" i="5"/>
  <c r="D7" i="5" s="1"/>
  <c r="D15" i="7" s="1"/>
  <c r="B41" i="4"/>
  <c r="B17" i="5"/>
  <c r="C17" i="5"/>
  <c r="C25" i="5"/>
  <c r="D25" i="5" s="1"/>
  <c r="B17" i="3"/>
  <c r="E14" i="3" s="1"/>
  <c r="B17" i="4"/>
  <c r="E14" i="4" s="1"/>
  <c r="B5" i="5"/>
  <c r="B23" i="7"/>
  <c r="C23" i="7" s="1"/>
  <c r="B25" i="5"/>
  <c r="D13" i="5"/>
  <c r="D21" i="5"/>
  <c r="D17" i="5"/>
  <c r="D14" i="5"/>
  <c r="B6" i="5" s="1"/>
  <c r="B49" i="4"/>
  <c r="C25" i="4"/>
  <c r="D25" i="4" s="1"/>
  <c r="E46" i="4"/>
  <c r="E23" i="4"/>
  <c r="C37" i="4"/>
  <c r="C39" i="4"/>
  <c r="E45" i="4"/>
  <c r="E47" i="4"/>
  <c r="C45" i="4"/>
  <c r="F22" i="4"/>
  <c r="F23" i="4"/>
  <c r="C13" i="4"/>
  <c r="C15" i="4"/>
  <c r="E21" i="4"/>
  <c r="F21" i="4"/>
  <c r="E15" i="3"/>
  <c r="C13" i="3"/>
  <c r="E13" i="3"/>
  <c r="B25" i="3"/>
  <c r="C22" i="3"/>
  <c r="C25" i="3" s="1"/>
  <c r="B23" i="2"/>
  <c r="B22" i="2"/>
  <c r="B21" i="2"/>
  <c r="B15" i="2"/>
  <c r="B14" i="2"/>
  <c r="B13" i="2"/>
  <c r="B6" i="6" l="1"/>
  <c r="B6" i="7"/>
  <c r="C6" i="5"/>
  <c r="D6" i="5" s="1"/>
  <c r="C14" i="2"/>
  <c r="B5" i="6"/>
  <c r="C5" i="5"/>
  <c r="B9" i="5"/>
  <c r="B5" i="7"/>
  <c r="C15" i="2"/>
  <c r="E13" i="4"/>
  <c r="E15" i="4"/>
  <c r="C7" i="7"/>
  <c r="C15" i="7" s="1"/>
  <c r="B15" i="7"/>
  <c r="B31" i="7"/>
  <c r="C31" i="7" s="1"/>
  <c r="E39" i="4"/>
  <c r="B23" i="6"/>
  <c r="C23" i="6" s="1"/>
  <c r="C7" i="6"/>
  <c r="C15" i="6" s="1"/>
  <c r="B15" i="6"/>
  <c r="B31" i="6"/>
  <c r="E37" i="4"/>
  <c r="F46" i="4"/>
  <c r="E38" i="4"/>
  <c r="F47" i="4"/>
  <c r="D15" i="6"/>
  <c r="B39" i="7"/>
  <c r="B47" i="7" s="1"/>
  <c r="B38" i="8" s="1"/>
  <c r="C39" i="7"/>
  <c r="C49" i="4"/>
  <c r="D49" i="4" s="1"/>
  <c r="F45" i="4"/>
  <c r="C41" i="4"/>
  <c r="D41" i="4" s="1"/>
  <c r="C17" i="4"/>
  <c r="F37" i="4" s="1"/>
  <c r="D25" i="3"/>
  <c r="F21" i="3"/>
  <c r="F23" i="3"/>
  <c r="E23" i="3"/>
  <c r="E21" i="3"/>
  <c r="C17" i="3"/>
  <c r="F22" i="3"/>
  <c r="E22" i="3"/>
  <c r="B25" i="2"/>
  <c r="E21" i="2" s="1"/>
  <c r="B17" i="2"/>
  <c r="E13" i="2" s="1"/>
  <c r="E14" i="2"/>
  <c r="E15" i="2"/>
  <c r="C13" i="2"/>
  <c r="C21" i="2"/>
  <c r="C23" i="2"/>
  <c r="C22" i="2"/>
  <c r="B36" i="1"/>
  <c r="B35" i="1"/>
  <c r="B34" i="1"/>
  <c r="B29" i="4" l="1"/>
  <c r="B29" i="3"/>
  <c r="B29" i="2"/>
  <c r="B53" i="4"/>
  <c r="B21" i="6"/>
  <c r="B13" i="6"/>
  <c r="B17" i="6" s="1"/>
  <c r="B29" i="6"/>
  <c r="C5" i="6"/>
  <c r="C13" i="6" s="1"/>
  <c r="C17" i="6" s="1"/>
  <c r="D17" i="6" s="1"/>
  <c r="B58" i="8"/>
  <c r="B78" i="8" s="1"/>
  <c r="B28" i="8"/>
  <c r="B18" i="8" s="1"/>
  <c r="C18" i="8" s="1"/>
  <c r="E18" i="8" s="1"/>
  <c r="D14" i="6"/>
  <c r="D14" i="7"/>
  <c r="B30" i="4"/>
  <c r="B30" i="2"/>
  <c r="B54" i="4"/>
  <c r="B30" i="3"/>
  <c r="C9" i="5"/>
  <c r="D9" i="5" s="1"/>
  <c r="D5" i="5"/>
  <c r="B30" i="7"/>
  <c r="B22" i="7"/>
  <c r="C22" i="7" s="1"/>
  <c r="C6" i="7"/>
  <c r="C14" i="7" s="1"/>
  <c r="B14" i="7"/>
  <c r="B31" i="3"/>
  <c r="B31" i="2"/>
  <c r="B55" i="4"/>
  <c r="B31" i="4"/>
  <c r="B9" i="6"/>
  <c r="E22" i="2"/>
  <c r="E23" i="2"/>
  <c r="C31" i="6"/>
  <c r="C39" i="6" s="1"/>
  <c r="B39" i="6"/>
  <c r="B47" i="6" s="1"/>
  <c r="B48" i="8" s="1"/>
  <c r="B68" i="8" s="1"/>
  <c r="B88" i="8" s="1"/>
  <c r="B29" i="7"/>
  <c r="C5" i="7"/>
  <c r="B9" i="7"/>
  <c r="B13" i="7"/>
  <c r="B17" i="7" s="1"/>
  <c r="B21" i="7"/>
  <c r="B30" i="6"/>
  <c r="B22" i="6"/>
  <c r="C22" i="6" s="1"/>
  <c r="C6" i="6"/>
  <c r="C14" i="6" s="1"/>
  <c r="B14" i="6"/>
  <c r="C47" i="7"/>
  <c r="D39" i="7"/>
  <c r="F13" i="4"/>
  <c r="F38" i="4"/>
  <c r="F39" i="4"/>
  <c r="D17" i="4"/>
  <c r="F14" i="4"/>
  <c r="F15" i="4"/>
  <c r="D17" i="3"/>
  <c r="F14" i="3"/>
  <c r="F15" i="3"/>
  <c r="F13" i="3"/>
  <c r="C17" i="2"/>
  <c r="C25" i="2"/>
  <c r="D25" i="2" s="1"/>
  <c r="C30" i="4" l="1"/>
  <c r="B6" i="4"/>
  <c r="B7" i="8" s="1"/>
  <c r="J7" i="8" s="1"/>
  <c r="C30" i="6"/>
  <c r="C38" i="6" s="1"/>
  <c r="B38" i="6"/>
  <c r="B46" i="6" s="1"/>
  <c r="B47" i="8" s="1"/>
  <c r="B67" i="8" s="1"/>
  <c r="B87" i="8" s="1"/>
  <c r="C31" i="3"/>
  <c r="B7" i="3"/>
  <c r="E31" i="3"/>
  <c r="B37" i="6"/>
  <c r="B33" i="6"/>
  <c r="C29" i="6"/>
  <c r="D47" i="7"/>
  <c r="C38" i="8"/>
  <c r="B38" i="7"/>
  <c r="B46" i="7" s="1"/>
  <c r="B37" i="8" s="1"/>
  <c r="C30" i="7"/>
  <c r="C38" i="7" s="1"/>
  <c r="C29" i="7"/>
  <c r="B33" i="7"/>
  <c r="B7" i="4"/>
  <c r="B8" i="8" s="1"/>
  <c r="J8" i="8" s="1"/>
  <c r="C31" i="4"/>
  <c r="E31" i="4"/>
  <c r="D13" i="7"/>
  <c r="D13" i="6"/>
  <c r="B33" i="2"/>
  <c r="E31" i="2" s="1"/>
  <c r="C29" i="2"/>
  <c r="B5" i="2"/>
  <c r="B37" i="7"/>
  <c r="B25" i="7"/>
  <c r="C21" i="7"/>
  <c r="C25" i="7" s="1"/>
  <c r="D25" i="7" s="1"/>
  <c r="C30" i="2"/>
  <c r="B6" i="2"/>
  <c r="B9" i="2" s="1"/>
  <c r="C29" i="3"/>
  <c r="B33" i="3"/>
  <c r="E29" i="3" s="1"/>
  <c r="B5" i="3"/>
  <c r="C54" i="4"/>
  <c r="E54" i="4"/>
  <c r="C21" i="6"/>
  <c r="C25" i="6" s="1"/>
  <c r="B25" i="6"/>
  <c r="C13" i="7"/>
  <c r="C17" i="7" s="1"/>
  <c r="D17" i="7" s="1"/>
  <c r="C9" i="7"/>
  <c r="D9" i="7" s="1"/>
  <c r="C53" i="4"/>
  <c r="B57" i="4"/>
  <c r="E53" i="4"/>
  <c r="C55" i="4"/>
  <c r="E55" i="4"/>
  <c r="C9" i="6"/>
  <c r="D9" i="6" s="1"/>
  <c r="C47" i="6"/>
  <c r="D39" i="6"/>
  <c r="B7" i="2"/>
  <c r="C31" i="2"/>
  <c r="C30" i="3"/>
  <c r="B6" i="3"/>
  <c r="E30" i="3"/>
  <c r="C29" i="4"/>
  <c r="B5" i="4"/>
  <c r="B33" i="4"/>
  <c r="E29" i="4" s="1"/>
  <c r="F22" i="2"/>
  <c r="F21" i="2"/>
  <c r="F23" i="2"/>
  <c r="D17" i="2"/>
  <c r="F14" i="2"/>
  <c r="F15" i="2"/>
  <c r="F13" i="2"/>
  <c r="B27" i="8" l="1"/>
  <c r="B17" i="8" s="1"/>
  <c r="C17" i="8" s="1"/>
  <c r="E17" i="8" s="1"/>
  <c r="B57" i="8"/>
  <c r="B77" i="8" s="1"/>
  <c r="C7" i="3"/>
  <c r="F31" i="3"/>
  <c r="C46" i="7"/>
  <c r="D38" i="7"/>
  <c r="C78" i="8"/>
  <c r="D78" i="8" s="1"/>
  <c r="D38" i="8"/>
  <c r="B9" i="3"/>
  <c r="B45" i="7"/>
  <c r="B41" i="7"/>
  <c r="C7" i="4"/>
  <c r="C33" i="6"/>
  <c r="D33" i="6" s="1"/>
  <c r="C37" i="6"/>
  <c r="E30" i="4"/>
  <c r="D25" i="6"/>
  <c r="F31" i="2"/>
  <c r="C7" i="2"/>
  <c r="D7" i="2" s="1"/>
  <c r="C57" i="4"/>
  <c r="D57" i="4" s="1"/>
  <c r="C33" i="7"/>
  <c r="D33" i="7" s="1"/>
  <c r="C37" i="7"/>
  <c r="C6" i="2"/>
  <c r="D6" i="2" s="1"/>
  <c r="E29" i="2"/>
  <c r="C6" i="3"/>
  <c r="E30" i="2"/>
  <c r="C46" i="6"/>
  <c r="D38" i="6"/>
  <c r="B9" i="4"/>
  <c r="B6" i="8"/>
  <c r="C33" i="4"/>
  <c r="F30" i="4" s="1"/>
  <c r="C5" i="4"/>
  <c r="D47" i="6"/>
  <c r="C48" i="8"/>
  <c r="D48" i="8" s="1"/>
  <c r="C33" i="3"/>
  <c r="C5" i="3"/>
  <c r="C33" i="2"/>
  <c r="D33" i="2" s="1"/>
  <c r="C5" i="2"/>
  <c r="B45" i="6"/>
  <c r="B41" i="6"/>
  <c r="C6" i="4"/>
  <c r="B49" i="6" l="1"/>
  <c r="B46" i="8"/>
  <c r="D46" i="7"/>
  <c r="C37" i="8"/>
  <c r="F29" i="2"/>
  <c r="F55" i="4"/>
  <c r="F29" i="3"/>
  <c r="D33" i="3"/>
  <c r="C58" i="8"/>
  <c r="D58" i="8" s="1"/>
  <c r="D7" i="3"/>
  <c r="E7" i="3"/>
  <c r="F7" i="3" s="1"/>
  <c r="E6" i="3"/>
  <c r="F6" i="3" s="1"/>
  <c r="D6" i="3"/>
  <c r="C9" i="2"/>
  <c r="D9" i="2" s="1"/>
  <c r="D5" i="2"/>
  <c r="F29" i="4"/>
  <c r="D33" i="4"/>
  <c r="B36" i="8"/>
  <c r="B49" i="7"/>
  <c r="F30" i="2"/>
  <c r="F54" i="4"/>
  <c r="D37" i="7"/>
  <c r="C45" i="7"/>
  <c r="C41" i="7"/>
  <c r="D41" i="7" s="1"/>
  <c r="F53" i="4"/>
  <c r="F31" i="4"/>
  <c r="C68" i="8"/>
  <c r="D68" i="8" s="1"/>
  <c r="D5" i="4"/>
  <c r="E5" i="4"/>
  <c r="C6" i="8"/>
  <c r="C9" i="4"/>
  <c r="D9" i="4" s="1"/>
  <c r="J6" i="8"/>
  <c r="J10" i="8" s="1"/>
  <c r="L10" i="8" s="1"/>
  <c r="B10" i="8"/>
  <c r="E5" i="3"/>
  <c r="D5" i="3"/>
  <c r="C9" i="3"/>
  <c r="D9" i="3" s="1"/>
  <c r="C41" i="6"/>
  <c r="D41" i="6" s="1"/>
  <c r="C45" i="6"/>
  <c r="D37" i="6"/>
  <c r="D46" i="6"/>
  <c r="C47" i="8"/>
  <c r="D47" i="8" s="1"/>
  <c r="E6" i="4"/>
  <c r="F6" i="4" s="1"/>
  <c r="D6" i="4"/>
  <c r="C7" i="8"/>
  <c r="F30" i="3"/>
  <c r="D7" i="4"/>
  <c r="E7" i="4"/>
  <c r="F7" i="4" s="1"/>
  <c r="C8" i="8"/>
  <c r="C88" i="8"/>
  <c r="D88" i="8" s="1"/>
  <c r="D45" i="7" l="1"/>
  <c r="C36" i="8"/>
  <c r="C49" i="7"/>
  <c r="D49" i="7" s="1"/>
  <c r="D45" i="6"/>
  <c r="C49" i="6"/>
  <c r="D49" i="6" s="1"/>
  <c r="C46" i="8"/>
  <c r="E9" i="4"/>
  <c r="F9" i="4" s="1"/>
  <c r="F5" i="4"/>
  <c r="E6" i="8"/>
  <c r="C10" i="8"/>
  <c r="D10" i="8" s="1"/>
  <c r="D6" i="8"/>
  <c r="E7" i="8"/>
  <c r="F7" i="8" s="1"/>
  <c r="D7" i="8"/>
  <c r="F5" i="3"/>
  <c r="E9" i="3"/>
  <c r="F9" i="3" s="1"/>
  <c r="B40" i="8"/>
  <c r="B26" i="8"/>
  <c r="B56" i="8"/>
  <c r="B66" i="8"/>
  <c r="B50" i="8"/>
  <c r="E8" i="8"/>
  <c r="F8" i="8" s="1"/>
  <c r="D8" i="8"/>
  <c r="C57" i="8"/>
  <c r="D57" i="8" s="1"/>
  <c r="D37" i="8"/>
  <c r="C77" i="8"/>
  <c r="D77" i="8" s="1"/>
  <c r="C87" i="8"/>
  <c r="D87" i="8" s="1"/>
  <c r="C67" i="8"/>
  <c r="D67" i="8" s="1"/>
  <c r="B86" i="8" l="1"/>
  <c r="B90" i="8" s="1"/>
  <c r="B70" i="8"/>
  <c r="D46" i="8"/>
  <c r="C50" i="8"/>
  <c r="D50" i="8" s="1"/>
  <c r="B60" i="8"/>
  <c r="B76" i="8"/>
  <c r="B80" i="8" s="1"/>
  <c r="D30" i="8"/>
  <c r="D26" i="8"/>
  <c r="C26" i="8" s="1"/>
  <c r="D27" i="8"/>
  <c r="C27" i="8" s="1"/>
  <c r="E27" i="8" s="1"/>
  <c r="D28" i="8"/>
  <c r="C28" i="8" s="1"/>
  <c r="E28" i="8" s="1"/>
  <c r="C56" i="8"/>
  <c r="C66" i="8"/>
  <c r="D36" i="8"/>
  <c r="C76" i="8"/>
  <c r="C40" i="8"/>
  <c r="D40" i="8" s="1"/>
  <c r="C86" i="8"/>
  <c r="B30" i="8"/>
  <c r="B16" i="8"/>
  <c r="F6" i="8"/>
  <c r="E10" i="8"/>
  <c r="C80" i="8" l="1"/>
  <c r="D80" i="8" s="1"/>
  <c r="D76" i="8"/>
  <c r="D86" i="8"/>
  <c r="C90" i="8"/>
  <c r="D90" i="8" s="1"/>
  <c r="G10" i="8"/>
  <c r="F10" i="8"/>
  <c r="D66" i="8"/>
  <c r="C70" i="8"/>
  <c r="D70" i="8" s="1"/>
  <c r="C60" i="8"/>
  <c r="D56" i="8"/>
  <c r="B20" i="8"/>
  <c r="C16" i="8"/>
  <c r="C30" i="8"/>
  <c r="E26" i="8"/>
  <c r="E30" i="8" s="1"/>
  <c r="G30" i="8" s="1"/>
  <c r="D60" i="8"/>
  <c r="E16" i="8" l="1"/>
  <c r="E20" i="8" s="1"/>
  <c r="G20" i="8" s="1"/>
  <c r="C20" i="8"/>
</calcChain>
</file>

<file path=xl/sharedStrings.xml><?xml version="1.0" encoding="utf-8"?>
<sst xmlns="http://schemas.openxmlformats.org/spreadsheetml/2006/main" count="453" uniqueCount="118">
  <si>
    <t>Transport - IO and LV1</t>
  </si>
  <si>
    <t>FY2017</t>
  </si>
  <si>
    <t>Service Program</t>
  </si>
  <si>
    <t>Service Category Description</t>
  </si>
  <si>
    <t>Service Unit Type</t>
  </si>
  <si>
    <t>Units Delivered</t>
  </si>
  <si>
    <t>Reimbursement Amount</t>
  </si>
  <si>
    <t>I/O</t>
  </si>
  <si>
    <t>Mile</t>
  </si>
  <si>
    <t>Transportation - NMT</t>
  </si>
  <si>
    <t>1 Way Trip</t>
  </si>
  <si>
    <t>LV1</t>
  </si>
  <si>
    <t>SELF</t>
  </si>
  <si>
    <t>Summary</t>
  </si>
  <si>
    <r>
      <rPr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- </t>
    </r>
  </si>
  <si>
    <t>* SELF Community Inclusion Miles</t>
  </si>
  <si>
    <r>
      <t>$341,476.67</t>
    </r>
    <r>
      <rPr>
        <sz val="12"/>
        <color rgb="FFFFFFFF"/>
        <rFont val="Calibri"/>
        <family val="2"/>
        <scheme val="minor"/>
      </rPr>
      <t>)</t>
    </r>
  </si>
  <si>
    <t>Alone</t>
  </si>
  <si>
    <t>1-2 Others</t>
  </si>
  <si>
    <t>3+ Others</t>
  </si>
  <si>
    <t>*based on LV1, SELF #miles with group size</t>
  </si>
  <si>
    <t>With 1 or 2 others</t>
  </si>
  <si>
    <t>With three others or more</t>
  </si>
  <si>
    <t xml:space="preserve"> Transportation - HPC</t>
  </si>
  <si>
    <t>Transportation - HPC</t>
  </si>
  <si>
    <r>
      <t>Service Date Fiscal Year: 2,017</t>
    </r>
    <r>
      <rPr>
        <sz val="8"/>
        <color theme="1"/>
        <rFont val="Tahoma"/>
        <family val="2"/>
      </rPr>
      <t xml:space="preserve"> AND </t>
    </r>
    <r>
      <rPr>
        <sz val="8"/>
        <color theme="1"/>
        <rFont val="Tahoma"/>
        <family val="2"/>
      </rPr>
      <t>Service Category Description: Participant Directed Transportation - HPC, Transportation - HPC, Tran...</t>
    </r>
  </si>
  <si>
    <t>HCBS Waiver Mileage (FY 2017 Data fron DODD) on 6/22/18</t>
  </si>
  <si>
    <t>IO</t>
  </si>
  <si>
    <t>LVI</t>
  </si>
  <si>
    <t>Total Miles</t>
  </si>
  <si>
    <t>Total Cost</t>
  </si>
  <si>
    <t>Avg. Per Mile</t>
  </si>
  <si>
    <t>Per Mile</t>
  </si>
  <si>
    <t>% of Units</t>
  </si>
  <si>
    <t>% of $$$</t>
  </si>
  <si>
    <t>Totals/Avg.</t>
  </si>
  <si>
    <t>LVI (1:1)</t>
  </si>
  <si>
    <t>LVI (1:2 or 1:3)</t>
  </si>
  <si>
    <t>LVI (1:4 or greater)</t>
  </si>
  <si>
    <t>IO (1:1)</t>
  </si>
  <si>
    <t>IO (1:2 or 1:3)</t>
  </si>
  <si>
    <t>IO (1:4 or greater)</t>
  </si>
  <si>
    <t>SELF (1:1)</t>
  </si>
  <si>
    <t>SELF (1:2 or 1:3)</t>
  </si>
  <si>
    <t>SELF (1:4 or greater)</t>
  </si>
  <si>
    <t>DATA WAREHOUSE</t>
  </si>
  <si>
    <t>**DODD ESTIMATED**</t>
  </si>
  <si>
    <t>PROJECTIONS wo/Mod. Veh.</t>
  </si>
  <si>
    <t>Proj. Increase</t>
  </si>
  <si>
    <t>Proj. % Increase</t>
  </si>
  <si>
    <t>HCBS Waiver Mileage Projections based of Proposal (wo/Mod. Veh.)</t>
  </si>
  <si>
    <t>PROJECTIONS w/Mod. Veh. (18%)</t>
  </si>
  <si>
    <t>PROJECTIONS w/Mod. Veh. (7%)</t>
  </si>
  <si>
    <t>PROJECTIONS w &amp; wo /Mod. Veh.</t>
  </si>
  <si>
    <t>PROJECTIONS wo/Mod. Veh. (82%)</t>
  </si>
  <si>
    <t>PROJECTIONS wo/Mod. Veh. (93%)</t>
  </si>
  <si>
    <t>HCBS Waiver NMT (FY 2017 Data fron DODD) on 6/22/18</t>
  </si>
  <si>
    <t>Total One-Way Trips</t>
  </si>
  <si>
    <t>Actual plus Imputed</t>
  </si>
  <si>
    <t>Avg. Per OWT</t>
  </si>
  <si>
    <t>Difference wo Mod.</t>
  </si>
  <si>
    <t>Actual plus Imputed wo Mod.</t>
  </si>
  <si>
    <t>Actual plus Imputed w Mod.</t>
  </si>
  <si>
    <t>Difference w &amp; wo Mod.</t>
  </si>
  <si>
    <t>Actual plus Imputed w &amp; wo Mod.</t>
  </si>
  <si>
    <t>HCBS Waiver NMT Projections w &amp; wo Mod. (5+ Passengers)</t>
  </si>
  <si>
    <t>HCBS Waiver Transportation Proposal</t>
  </si>
  <si>
    <t>NMT OWT Projection (all 1-4 Passenger)</t>
  </si>
  <si>
    <t>HCBS Waiver NMT Projections w &amp; wo Mod. (1-4 Passengers)</t>
  </si>
  <si>
    <t>NMT OWT Projection (all 5+ Passenger)</t>
  </si>
  <si>
    <t>Mileage Projection (Residential only)</t>
  </si>
  <si>
    <t>Avg. Ind. Per Day</t>
  </si>
  <si>
    <t>1:1</t>
  </si>
  <si>
    <t>1:2 or 1:3</t>
  </si>
  <si>
    <t>1:4 or more</t>
  </si>
  <si>
    <t>Mileage Projection - Community Inclusion while at Day Service (avg. of 25 miles each per week * 48 weeks = 960 miles per individual per year)</t>
  </si>
  <si>
    <t>NMT OWT Projection (if 70% 5+, 30% 1-4)</t>
  </si>
  <si>
    <t>Increase/(Decrease)</t>
  </si>
  <si>
    <t>NMT OWT Projection (if 50% 5+, 50% 1-4)</t>
  </si>
  <si>
    <t>NMT OWT Projection (if 75% 5+, 25% 1-4)</t>
  </si>
  <si>
    <t>NMT OWT Projection (if 60% 5+, 40% 1-4)</t>
  </si>
  <si>
    <t>Match (37.22%)</t>
  </si>
  <si>
    <t>In order to do more meaningful budget/private provider impacts we will need to request some data from DODD. I would like this information aggregated by private providers (vs. public providers) if possible. The request is as follows:</t>
  </si>
  <si>
    <t>CY 2017 total units for the following billing codes:</t>
  </si>
  <si>
    <t>IO Wavier ATN                  Total # of units by 1:1</t>
  </si>
  <si>
    <t>                                                Total # of units by 1:2 through 1:3</t>
  </si>
  <si>
    <t>                                                Total # of units by 1:4 or more</t>
  </si>
  <si>
    <t>LVI Wavier FTN                  Total # of units by 1:1</t>
  </si>
  <si>
    <t>SELF Wavier STN               Total # of units by 1:1</t>
  </si>
  <si>
    <t>IO Wavier ATB                   Total # of units</t>
  </si>
  <si>
    <t>LVI Wavier FTB                  Total # of units</t>
  </si>
  <si>
    <t>SELF Wavier STB               Total # of units</t>
  </si>
  <si>
    <t>IO Wavier ATW                 Total # of units and Dollar Amount</t>
  </si>
  <si>
    <t>LVI Wavier FTW                 Total # of units and Dollar Amount</t>
  </si>
  <si>
    <t>SELF Wavier STW              Total # of units and Dollar Amount</t>
  </si>
  <si>
    <t>IO Waiver                            Total number of individuals who received a NMT service</t>
  </si>
  <si>
    <t>LVI Waiver                          Total number of individuals who received a NMT service</t>
  </si>
  <si>
    <t>SELF Waiver                        Total number of individuals who received a NMT service</t>
  </si>
  <si>
    <t>On the ODDP (IO Waiver only/not ICF), how many individuals on question 25 have the following indicated:</t>
  </si>
  <si>
    <t>                                                O             Walks independently</t>
  </si>
  <si>
    <t>                                                O             Walks independently but with difficulty (no corrective device)</t>
  </si>
  <si>
    <t>                                                O             Walks independently with corrective device</t>
  </si>
  <si>
    <t>                                                O             Walks only with assistance from another person</t>
  </si>
  <si>
    <t>                                                O             cannot walk</t>
  </si>
  <si>
    <t>On the ODDP (IO Waiver only/not ICF), how many individuals on question 26 have the following indicated:</t>
  </si>
  <si>
    <t>                                                O             Individual does not use a wheelchair</t>
  </si>
  <si>
    <t>                                                O             Can use a wheelchair independently, including transferring</t>
  </si>
  <si>
    <t>                                                O             Can use a wheelchair independently with assistance in transferring</t>
  </si>
  <si>
    <t>                                                O             Requires assistance in transferring and moving</t>
  </si>
  <si>
    <t>                                                O             no mobility (must be transferred and moved)</t>
  </si>
  <si>
    <t>Known issues with current and proposed rates:</t>
  </si>
  <si>
    <t>The rates for Day Services have remained virtually unchanged for 12 years, NMT subsidies these rates</t>
  </si>
  <si>
    <t>Staff</t>
  </si>
  <si>
    <t>Hours</t>
  </si>
  <si>
    <t>We currently spend $200m ($34m Residential/$166m NMT) per year transporting folks!</t>
  </si>
  <si>
    <t>We currently have the worst work force crisis in the past 30 years, making any proposal to increase number of drivers more difficult</t>
  </si>
  <si>
    <t>Residential transportation currently has an avg. loss of about 50%!</t>
  </si>
  <si>
    <t>Current per mile rates do not come close to the cost of transportation, especially modified vehicles, one 12.5% increase in past 12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</si>
</sst>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[$$-409]#,##0.00;\([$$-409]#,##0.00\)"/>
    <numFmt numFmtId="165" formatCode="mmm\ d\,\ yyyy"/>
    <numFmt numFmtId="166" formatCode="&quot;$&quot;#,##0.000_);[Red]\(&quot;$&quot;#,##0.000\)"/>
    <numFmt numFmtId="167" formatCode="&quot;$&quot;#,##0"/>
    <numFmt numFmtId="168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u/>
      <sz val="14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2"/>
      <color rgb="FFFFFF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</fills>
  <borders count="13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5" fillId="2" borderId="1" xfId="2" applyFont="1" applyFill="1" applyBorder="1" applyAlignment="1">
      <alignment horizontal="center" vertical="top"/>
    </xf>
    <xf numFmtId="0" fontId="5" fillId="0" borderId="2" xfId="2" applyFont="1" applyBorder="1" applyAlignment="1">
      <alignment vertical="top"/>
    </xf>
    <xf numFmtId="3" fontId="5" fillId="0" borderId="2" xfId="2" applyNumberFormat="1" applyFont="1" applyBorder="1" applyAlignment="1">
      <alignment horizontal="right" vertical="top"/>
    </xf>
    <xf numFmtId="164" fontId="5" fillId="0" borderId="2" xfId="2" applyNumberFormat="1" applyFont="1" applyBorder="1" applyAlignment="1">
      <alignment horizontal="right" vertical="top"/>
    </xf>
    <xf numFmtId="3" fontId="6" fillId="3" borderId="2" xfId="2" applyNumberFormat="1" applyFont="1" applyFill="1" applyBorder="1" applyAlignment="1">
      <alignment horizontal="right" vertical="top"/>
    </xf>
    <xf numFmtId="164" fontId="6" fillId="3" borderId="2" xfId="2" applyNumberFormat="1" applyFont="1" applyFill="1" applyBorder="1" applyAlignment="1">
      <alignment horizontal="right" vertical="top"/>
    </xf>
    <xf numFmtId="19" fontId="3" fillId="0" borderId="0" xfId="2" applyNumberFormat="1" applyAlignment="1">
      <alignment horizontal="right" vertical="top"/>
    </xf>
    <xf numFmtId="0" fontId="3" fillId="0" borderId="0" xfId="2"/>
    <xf numFmtId="3" fontId="0" fillId="0" borderId="0" xfId="0" applyNumberFormat="1"/>
    <xf numFmtId="43" fontId="0" fillId="0" borderId="0" xfId="1" applyFont="1"/>
    <xf numFmtId="0" fontId="2" fillId="0" borderId="0" xfId="0" applyFont="1"/>
    <xf numFmtId="43" fontId="2" fillId="0" borderId="0" xfId="1" applyFont="1"/>
    <xf numFmtId="43" fontId="3" fillId="0" borderId="0" xfId="1" applyFont="1"/>
    <xf numFmtId="0" fontId="9" fillId="0" borderId="0" xfId="0" applyFont="1"/>
    <xf numFmtId="0" fontId="8" fillId="0" borderId="0" xfId="0" applyFont="1" applyAlignment="1">
      <alignment horizontal="center"/>
    </xf>
    <xf numFmtId="3" fontId="2" fillId="0" borderId="0" xfId="0" applyNumberFormat="1" applyFont="1"/>
    <xf numFmtId="6" fontId="2" fillId="0" borderId="0" xfId="0" applyNumberFormat="1" applyFont="1"/>
    <xf numFmtId="8" fontId="2" fillId="0" borderId="0" xfId="0" applyNumberFormat="1" applyFont="1"/>
    <xf numFmtId="8" fontId="10" fillId="0" borderId="0" xfId="0" applyNumberFormat="1" applyFont="1"/>
    <xf numFmtId="6" fontId="0" fillId="0" borderId="0" xfId="0" applyNumberFormat="1"/>
    <xf numFmtId="8" fontId="11" fillId="0" borderId="0" xfId="0" applyNumberFormat="1" applyFont="1"/>
    <xf numFmtId="166" fontId="2" fillId="0" borderId="0" xfId="0" applyNumberFormat="1" applyFont="1"/>
    <xf numFmtId="10" fontId="0" fillId="0" borderId="0" xfId="0" applyNumberFormat="1"/>
    <xf numFmtId="166" fontId="0" fillId="0" borderId="0" xfId="0" applyNumberFormat="1"/>
    <xf numFmtId="0" fontId="2" fillId="0" borderId="5" xfId="0" applyFont="1" applyBorder="1"/>
    <xf numFmtId="3" fontId="2" fillId="0" borderId="6" xfId="0" applyNumberFormat="1" applyFont="1" applyBorder="1"/>
    <xf numFmtId="6" fontId="2" fillId="0" borderId="6" xfId="0" applyNumberFormat="1" applyFont="1" applyBorder="1"/>
    <xf numFmtId="166" fontId="2" fillId="0" borderId="7" xfId="0" applyNumberFormat="1" applyFont="1" applyBorder="1"/>
    <xf numFmtId="10" fontId="2" fillId="0" borderId="0" xfId="0" applyNumberFormat="1" applyFont="1"/>
    <xf numFmtId="166" fontId="2" fillId="0" borderId="6" xfId="0" applyNumberFormat="1" applyFont="1" applyBorder="1"/>
    <xf numFmtId="10" fontId="2" fillId="0" borderId="7" xfId="0" applyNumberFormat="1" applyFont="1" applyBorder="1"/>
    <xf numFmtId="3" fontId="11" fillId="0" borderId="0" xfId="0" applyNumberFormat="1" applyFont="1"/>
    <xf numFmtId="8" fontId="2" fillId="0" borderId="7" xfId="0" applyNumberFormat="1" applyFont="1" applyBorder="1"/>
    <xf numFmtId="3" fontId="10" fillId="0" borderId="0" xfId="0" applyNumberFormat="1" applyFont="1"/>
    <xf numFmtId="6" fontId="10" fillId="0" borderId="0" xfId="0" applyNumberFormat="1" applyFont="1"/>
    <xf numFmtId="3" fontId="12" fillId="0" borderId="0" xfId="0" applyNumberFormat="1" applyFont="1"/>
    <xf numFmtId="6" fontId="12" fillId="0" borderId="0" xfId="0" applyNumberFormat="1" applyFont="1"/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2" fillId="0" borderId="11" xfId="0" applyFont="1" applyBorder="1"/>
    <xf numFmtId="8" fontId="2" fillId="0" borderId="12" xfId="0" applyNumberFormat="1" applyFont="1" applyBorder="1"/>
    <xf numFmtId="0" fontId="10" fillId="0" borderId="0" xfId="0" applyFont="1"/>
    <xf numFmtId="49" fontId="2" fillId="0" borderId="0" xfId="0" applyNumberFormat="1" applyFont="1"/>
    <xf numFmtId="6" fontId="2" fillId="0" borderId="7" xfId="0" applyNumberFormat="1" applyFont="1" applyBorder="1"/>
    <xf numFmtId="8" fontId="12" fillId="0" borderId="12" xfId="0" applyNumberFormat="1" applyFont="1" applyBorder="1"/>
    <xf numFmtId="6" fontId="13" fillId="0" borderId="0" xfId="0" applyNumberFormat="1" applyFont="1"/>
    <xf numFmtId="0" fontId="14" fillId="0" borderId="0" xfId="0" applyFont="1"/>
    <xf numFmtId="8" fontId="2" fillId="0" borderId="6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5"/>
    </xf>
    <xf numFmtId="0" fontId="0" fillId="0" borderId="0" xfId="0" applyAlignment="1">
      <alignment horizontal="left" vertical="center" indent="10"/>
    </xf>
    <xf numFmtId="0" fontId="8" fillId="0" borderId="0" xfId="0" applyFont="1"/>
    <xf numFmtId="167" fontId="2" fillId="0" borderId="0" xfId="0" applyNumberFormat="1" applyFont="1"/>
    <xf numFmtId="168" fontId="10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4" fillId="0" borderId="0" xfId="2" applyFont="1" applyAlignment="1">
      <alignment horizontal="center" vertical="top"/>
    </xf>
    <xf numFmtId="0" fontId="3" fillId="0" borderId="0" xfId="2"/>
    <xf numFmtId="0" fontId="3" fillId="0" borderId="0" xfId="2" applyAlignment="1">
      <alignment horizontal="center" vertical="top"/>
    </xf>
    <xf numFmtId="0" fontId="5" fillId="0" borderId="0" xfId="2" applyFont="1" applyAlignment="1">
      <alignment vertical="top" indent="3"/>
    </xf>
    <xf numFmtId="0" fontId="6" fillId="3" borderId="2" xfId="2" applyFont="1" applyFill="1" applyBorder="1" applyAlignment="1">
      <alignment vertical="top"/>
    </xf>
    <xf numFmtId="0" fontId="3" fillId="3" borderId="3" xfId="2" applyFill="1" applyBorder="1"/>
    <xf numFmtId="0" fontId="3" fillId="3" borderId="4" xfId="2" applyFill="1" applyBorder="1"/>
    <xf numFmtId="165" fontId="3" fillId="0" borderId="0" xfId="2" applyNumberFormat="1" applyAlignment="1">
      <alignment horizontal="left" vertical="top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266700" cy="266700"/>
    <xdr:pic>
      <xdr:nvPicPr>
        <xdr:cNvPr id="2" name="RSXls2007_missing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41960"/>
          <a:ext cx="266700" cy="2667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DAFE5-D195-4CA4-AF2B-B8C4EB2B0E40}">
  <dimension ref="A1:D49"/>
  <sheetViews>
    <sheetView topLeftCell="A25" workbookViewId="0">
      <selection activeCell="A28" sqref="A28:D49"/>
    </sheetView>
  </sheetViews>
  <sheetFormatPr defaultRowHeight="15" x14ac:dyDescent="0.25"/>
  <cols>
    <col min="1" max="1" width="35.7109375" customWidth="1"/>
    <col min="2" max="2" width="20.7109375" customWidth="1"/>
    <col min="3" max="4" width="15.7109375" customWidth="1"/>
  </cols>
  <sheetData>
    <row r="1" spans="1:4" ht="18.75" x14ac:dyDescent="0.3">
      <c r="A1" s="14" t="s">
        <v>68</v>
      </c>
    </row>
    <row r="2" spans="1:4" ht="18.75" x14ac:dyDescent="0.3">
      <c r="A2" s="14"/>
    </row>
    <row r="4" spans="1:4" x14ac:dyDescent="0.25">
      <c r="A4" s="15" t="s">
        <v>61</v>
      </c>
      <c r="B4" s="15" t="s">
        <v>57</v>
      </c>
      <c r="C4" s="15" t="s">
        <v>30</v>
      </c>
      <c r="D4" s="15" t="s">
        <v>59</v>
      </c>
    </row>
    <row r="5" spans="1:4" x14ac:dyDescent="0.25">
      <c r="A5" s="11" t="s">
        <v>27</v>
      </c>
      <c r="B5" s="36">
        <f>+'FY 2017 NMT Analysis'!B5</f>
        <v>5492332.5320986956</v>
      </c>
      <c r="C5" s="37">
        <f>+B5*D5</f>
        <v>116821912.95773925</v>
      </c>
      <c r="D5" s="19">
        <f>SUM(21.24+21.3)/2</f>
        <v>21.27</v>
      </c>
    </row>
    <row r="6" spans="1:4" x14ac:dyDescent="0.25">
      <c r="A6" s="11" t="s">
        <v>28</v>
      </c>
      <c r="B6" s="36">
        <f>+'FY 2017 NMT Analysis'!B6</f>
        <v>3239473.7707873718</v>
      </c>
      <c r="C6" s="37">
        <f t="shared" ref="C6:C7" si="0">+B6*D6</f>
        <v>68903607.104647398</v>
      </c>
      <c r="D6" s="19">
        <f t="shared" ref="D6:D7" si="1">SUM(21.24+21.3)/2</f>
        <v>21.27</v>
      </c>
    </row>
    <row r="7" spans="1:4" x14ac:dyDescent="0.25">
      <c r="A7" s="11" t="s">
        <v>12</v>
      </c>
      <c r="B7" s="36">
        <f>+'FY 2017 NMT Analysis'!B7</f>
        <v>93317.908049404112</v>
      </c>
      <c r="C7" s="37">
        <f t="shared" si="0"/>
        <v>1984871.9042108255</v>
      </c>
      <c r="D7" s="19">
        <f t="shared" si="1"/>
        <v>21.27</v>
      </c>
    </row>
    <row r="8" spans="1:4" x14ac:dyDescent="0.25">
      <c r="A8" s="11"/>
      <c r="B8" s="16"/>
      <c r="C8" s="17"/>
      <c r="D8" s="18"/>
    </row>
    <row r="9" spans="1:4" x14ac:dyDescent="0.25">
      <c r="A9" s="25" t="s">
        <v>35</v>
      </c>
      <c r="B9" s="26">
        <f>SUM(B5:B7)</f>
        <v>8825124.2109354716</v>
      </c>
      <c r="C9" s="27">
        <f>SUM(C5:C7)</f>
        <v>187710391.96659747</v>
      </c>
      <c r="D9" s="33">
        <f>+C9/B9</f>
        <v>21.27</v>
      </c>
    </row>
    <row r="12" spans="1:4" x14ac:dyDescent="0.25">
      <c r="A12" s="38" t="s">
        <v>60</v>
      </c>
      <c r="B12" s="39" t="s">
        <v>57</v>
      </c>
      <c r="C12" s="39" t="s">
        <v>30</v>
      </c>
      <c r="D12" s="40" t="s">
        <v>59</v>
      </c>
    </row>
    <row r="13" spans="1:4" x14ac:dyDescent="0.25">
      <c r="A13" s="41" t="s">
        <v>27</v>
      </c>
      <c r="B13" s="36">
        <f>+B5</f>
        <v>5492332.5320986956</v>
      </c>
      <c r="C13" s="37">
        <f>+C5-'FY 2017 NMT Analysis'!C5</f>
        <v>13291534.177739248</v>
      </c>
      <c r="D13" s="46">
        <f>+D5-'FY 2017 NMT Analysis'!D5</f>
        <v>2.4200162863519061</v>
      </c>
    </row>
    <row r="14" spans="1:4" x14ac:dyDescent="0.25">
      <c r="A14" s="41" t="s">
        <v>28</v>
      </c>
      <c r="B14" s="36">
        <f>+B6</f>
        <v>3239473.7707873718</v>
      </c>
      <c r="C14" s="37">
        <f>+C6-'FY 2017 NMT Analysis'!C6</f>
        <v>8559330.2546473965</v>
      </c>
      <c r="D14" s="46">
        <f>+D6-'FY 2017 NMT Analysis'!D6</f>
        <v>2.6421977334198345</v>
      </c>
    </row>
    <row r="15" spans="1:4" x14ac:dyDescent="0.25">
      <c r="A15" s="41" t="s">
        <v>12</v>
      </c>
      <c r="B15" s="36">
        <f>+B7</f>
        <v>93317.908049404112</v>
      </c>
      <c r="C15" s="37">
        <f>+C7-'FY 2017 NMT Analysis'!C7</f>
        <v>208188.19421082549</v>
      </c>
      <c r="D15" s="46">
        <f>+D7-'FY 2017 NMT Analysis'!D7</f>
        <v>2.2309565073041178</v>
      </c>
    </row>
    <row r="16" spans="1:4" x14ac:dyDescent="0.25">
      <c r="A16" s="41"/>
      <c r="B16" s="16"/>
      <c r="C16" s="17"/>
      <c r="D16" s="42"/>
    </row>
    <row r="17" spans="1:4" x14ac:dyDescent="0.25">
      <c r="A17" s="25" t="s">
        <v>35</v>
      </c>
      <c r="B17" s="26">
        <f>SUM(B13:B15)</f>
        <v>8825124.2109354716</v>
      </c>
      <c r="C17" s="27">
        <f>SUM(C13:C15)</f>
        <v>22059052.626597472</v>
      </c>
      <c r="D17" s="33">
        <f>+C17/B17</f>
        <v>2.4995741815467536</v>
      </c>
    </row>
    <row r="20" spans="1:4" x14ac:dyDescent="0.25">
      <c r="A20" s="15" t="s">
        <v>61</v>
      </c>
      <c r="B20" s="15" t="s">
        <v>57</v>
      </c>
      <c r="C20" s="15" t="s">
        <v>30</v>
      </c>
      <c r="D20" s="15" t="s">
        <v>59</v>
      </c>
    </row>
    <row r="21" spans="1:4" x14ac:dyDescent="0.25">
      <c r="A21" s="11" t="s">
        <v>27</v>
      </c>
      <c r="B21" s="36">
        <f>+B5*0.82</f>
        <v>4503712.67632093</v>
      </c>
      <c r="C21" s="37">
        <f t="shared" ref="C21:C23" si="2">+B21*D21</f>
        <v>95793968.625346184</v>
      </c>
      <c r="D21" s="19">
        <f>SUM(21.24+21.3)/2</f>
        <v>21.27</v>
      </c>
    </row>
    <row r="22" spans="1:4" x14ac:dyDescent="0.25">
      <c r="A22" s="11" t="s">
        <v>28</v>
      </c>
      <c r="B22" s="36">
        <f>+B6*0.93</f>
        <v>3012710.6068322561</v>
      </c>
      <c r="C22" s="37">
        <f t="shared" si="2"/>
        <v>64080354.607322082</v>
      </c>
      <c r="D22" s="19">
        <f t="shared" ref="D22:D23" si="3">SUM(21.24+21.3)/2</f>
        <v>21.27</v>
      </c>
    </row>
    <row r="23" spans="1:4" x14ac:dyDescent="0.25">
      <c r="A23" s="11" t="s">
        <v>12</v>
      </c>
      <c r="B23" s="36">
        <f>+B7*0.93</f>
        <v>86785.654485945823</v>
      </c>
      <c r="C23" s="37">
        <f t="shared" si="2"/>
        <v>1845930.8709160676</v>
      </c>
      <c r="D23" s="19">
        <f t="shared" si="3"/>
        <v>21.27</v>
      </c>
    </row>
    <row r="24" spans="1:4" x14ac:dyDescent="0.25">
      <c r="A24" s="11"/>
      <c r="B24" s="16"/>
      <c r="C24" s="17"/>
      <c r="D24" s="18"/>
    </row>
    <row r="25" spans="1:4" x14ac:dyDescent="0.25">
      <c r="A25" s="25" t="s">
        <v>35</v>
      </c>
      <c r="B25" s="26">
        <f>SUM(B21:B23)</f>
        <v>7603208.9376391312</v>
      </c>
      <c r="C25" s="27">
        <f>SUM(C21:C23)</f>
        <v>161720254.10358435</v>
      </c>
      <c r="D25" s="33">
        <f>+C25/B25</f>
        <v>21.270000000000003</v>
      </c>
    </row>
    <row r="28" spans="1:4" x14ac:dyDescent="0.25">
      <c r="A28" s="15" t="s">
        <v>62</v>
      </c>
      <c r="B28" s="15" t="s">
        <v>57</v>
      </c>
      <c r="C28" s="15" t="s">
        <v>30</v>
      </c>
      <c r="D28" s="15" t="s">
        <v>59</v>
      </c>
    </row>
    <row r="29" spans="1:4" x14ac:dyDescent="0.25">
      <c r="A29" s="11" t="s">
        <v>27</v>
      </c>
      <c r="B29" s="36">
        <f>+B5*0.18</f>
        <v>988619.85577776516</v>
      </c>
      <c r="C29" s="37">
        <f t="shared" ref="C29:C31" si="4">+B29*D29</f>
        <v>31101980.662768494</v>
      </c>
      <c r="D29" s="19">
        <f>SUM(21.24+21.3)/2+10.19</f>
        <v>31.46</v>
      </c>
    </row>
    <row r="30" spans="1:4" x14ac:dyDescent="0.25">
      <c r="A30" s="11" t="s">
        <v>28</v>
      </c>
      <c r="B30" s="36">
        <f>+B6*0.07</f>
        <v>226763.16395511603</v>
      </c>
      <c r="C30" s="37">
        <f t="shared" si="4"/>
        <v>7133969.1380279502</v>
      </c>
      <c r="D30" s="19">
        <f>SUM(21.24+21.3)/2+10.19</f>
        <v>31.46</v>
      </c>
    </row>
    <row r="31" spans="1:4" x14ac:dyDescent="0.25">
      <c r="A31" s="11" t="s">
        <v>12</v>
      </c>
      <c r="B31" s="36">
        <f>+B7*0.07</f>
        <v>6532.2535634582882</v>
      </c>
      <c r="C31" s="37">
        <f t="shared" si="4"/>
        <v>205504.69710639774</v>
      </c>
      <c r="D31" s="19">
        <f>SUM(21.24+21.3)/2+10.19</f>
        <v>31.46</v>
      </c>
    </row>
    <row r="32" spans="1:4" x14ac:dyDescent="0.25">
      <c r="A32" s="11"/>
      <c r="B32" s="16"/>
      <c r="C32" s="17"/>
      <c r="D32" s="18"/>
    </row>
    <row r="33" spans="1:4" x14ac:dyDescent="0.25">
      <c r="A33" s="25" t="s">
        <v>35</v>
      </c>
      <c r="B33" s="26">
        <f>SUM(B29:B31)</f>
        <v>1221915.2732963394</v>
      </c>
      <c r="C33" s="27">
        <f>SUM(C29:C31)</f>
        <v>38441454.49790284</v>
      </c>
      <c r="D33" s="33">
        <f>+C33/B33</f>
        <v>31.46</v>
      </c>
    </row>
    <row r="36" spans="1:4" x14ac:dyDescent="0.25">
      <c r="A36" s="15" t="s">
        <v>64</v>
      </c>
      <c r="B36" s="15" t="s">
        <v>57</v>
      </c>
      <c r="C36" s="15" t="s">
        <v>30</v>
      </c>
      <c r="D36" s="15" t="s">
        <v>59</v>
      </c>
    </row>
    <row r="37" spans="1:4" x14ac:dyDescent="0.25">
      <c r="A37" s="11" t="s">
        <v>27</v>
      </c>
      <c r="B37" s="36">
        <f>+B29+B21</f>
        <v>5492332.5320986956</v>
      </c>
      <c r="C37" s="37">
        <f>+C29+C21</f>
        <v>126895949.28811468</v>
      </c>
      <c r="D37" s="19">
        <f>+C37/B37</f>
        <v>23.104199999999999</v>
      </c>
    </row>
    <row r="38" spans="1:4" x14ac:dyDescent="0.25">
      <c r="A38" s="11" t="s">
        <v>28</v>
      </c>
      <c r="B38" s="36">
        <f t="shared" ref="B38:C39" si="5">+B30+B22</f>
        <v>3239473.7707873723</v>
      </c>
      <c r="C38" s="37">
        <f t="shared" si="5"/>
        <v>71214323.745350033</v>
      </c>
      <c r="D38" s="19">
        <f t="shared" ref="D38:D39" si="6">+C38/B38</f>
        <v>21.983299999999996</v>
      </c>
    </row>
    <row r="39" spans="1:4" x14ac:dyDescent="0.25">
      <c r="A39" s="11" t="s">
        <v>12</v>
      </c>
      <c r="B39" s="36">
        <f t="shared" si="5"/>
        <v>93317.908049404112</v>
      </c>
      <c r="C39" s="37">
        <f t="shared" si="5"/>
        <v>2051435.5680224653</v>
      </c>
      <c r="D39" s="19">
        <f t="shared" si="6"/>
        <v>21.9833</v>
      </c>
    </row>
    <row r="40" spans="1:4" x14ac:dyDescent="0.25">
      <c r="A40" s="11"/>
      <c r="B40" s="16"/>
      <c r="C40" s="17"/>
      <c r="D40" s="18"/>
    </row>
    <row r="41" spans="1:4" x14ac:dyDescent="0.25">
      <c r="A41" s="25" t="s">
        <v>35</v>
      </c>
      <c r="B41" s="26">
        <f>SUM(B37:B39)</f>
        <v>8825124.2109354734</v>
      </c>
      <c r="C41" s="27">
        <f>SUM(C37:C39)</f>
        <v>200161708.60148719</v>
      </c>
      <c r="D41" s="33">
        <f>+C41/B41</f>
        <v>22.680894208090677</v>
      </c>
    </row>
    <row r="44" spans="1:4" x14ac:dyDescent="0.25">
      <c r="A44" s="38" t="s">
        <v>63</v>
      </c>
      <c r="B44" s="39" t="s">
        <v>57</v>
      </c>
      <c r="C44" s="39" t="s">
        <v>30</v>
      </c>
      <c r="D44" s="40" t="s">
        <v>59</v>
      </c>
    </row>
    <row r="45" spans="1:4" x14ac:dyDescent="0.25">
      <c r="A45" s="41" t="s">
        <v>27</v>
      </c>
      <c r="B45" s="36">
        <f>+B37</f>
        <v>5492332.5320986956</v>
      </c>
      <c r="C45" s="37">
        <f>+C37-'FY 2017 NMT Analysis'!C5</f>
        <v>23365570.508114681</v>
      </c>
      <c r="D45" s="46">
        <f>+C45/B45</f>
        <v>4.2542162863519071</v>
      </c>
    </row>
    <row r="46" spans="1:4" x14ac:dyDescent="0.25">
      <c r="A46" s="41" t="s">
        <v>28</v>
      </c>
      <c r="B46" s="36">
        <f>+B38</f>
        <v>3239473.7707873723</v>
      </c>
      <c r="C46" s="37">
        <f>+C38-'FY 2017 NMT Analysis'!C6</f>
        <v>10870046.895350032</v>
      </c>
      <c r="D46" s="46">
        <f t="shared" ref="D46:D47" si="7">+C46/B46</f>
        <v>3.3554977334198344</v>
      </c>
    </row>
    <row r="47" spans="1:4" x14ac:dyDescent="0.25">
      <c r="A47" s="41" t="s">
        <v>12</v>
      </c>
      <c r="B47" s="36">
        <f>+B39</f>
        <v>93317.908049404112</v>
      </c>
      <c r="C47" s="37">
        <f>+C39-'FY 2017 NMT Analysis'!C7</f>
        <v>274751.85802246537</v>
      </c>
      <c r="D47" s="46">
        <f t="shared" si="7"/>
        <v>2.9442565073041176</v>
      </c>
    </row>
    <row r="48" spans="1:4" x14ac:dyDescent="0.25">
      <c r="A48" s="41"/>
      <c r="B48" s="16"/>
      <c r="C48" s="17"/>
      <c r="D48" s="42"/>
    </row>
    <row r="49" spans="1:4" x14ac:dyDescent="0.25">
      <c r="A49" s="25" t="s">
        <v>35</v>
      </c>
      <c r="B49" s="26">
        <f>SUM(B45:B47)</f>
        <v>8825124.2109354734</v>
      </c>
      <c r="C49" s="27">
        <f>SUM(C45:C47)</f>
        <v>34510369.261487179</v>
      </c>
      <c r="D49" s="33">
        <f>+C49/B49</f>
        <v>3.910468389637435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4924B-2447-4862-AE54-4AD4F663C36E}">
  <dimension ref="A1:D49"/>
  <sheetViews>
    <sheetView topLeftCell="A22" workbookViewId="0">
      <selection activeCell="A28" sqref="A28:D49"/>
    </sheetView>
  </sheetViews>
  <sheetFormatPr defaultRowHeight="15" x14ac:dyDescent="0.25"/>
  <cols>
    <col min="1" max="1" width="35.7109375" customWidth="1"/>
    <col min="2" max="2" width="20.7109375" customWidth="1"/>
    <col min="3" max="4" width="15.7109375" customWidth="1"/>
  </cols>
  <sheetData>
    <row r="1" spans="1:4" ht="18.75" x14ac:dyDescent="0.3">
      <c r="A1" s="14" t="s">
        <v>65</v>
      </c>
    </row>
    <row r="2" spans="1:4" ht="18.75" x14ac:dyDescent="0.3">
      <c r="A2" s="14"/>
    </row>
    <row r="4" spans="1:4" x14ac:dyDescent="0.25">
      <c r="A4" s="15" t="s">
        <v>61</v>
      </c>
      <c r="B4" s="15" t="s">
        <v>57</v>
      </c>
      <c r="C4" s="15" t="s">
        <v>30</v>
      </c>
      <c r="D4" s="15" t="s">
        <v>59</v>
      </c>
    </row>
    <row r="5" spans="1:4" x14ac:dyDescent="0.25">
      <c r="A5" s="11" t="s">
        <v>27</v>
      </c>
      <c r="B5" s="36">
        <f>+'FY 2017 NMT Analysis'!B5</f>
        <v>5492332.5320986956</v>
      </c>
      <c r="C5" s="37">
        <f>+B5*D5</f>
        <v>88563862.080091462</v>
      </c>
      <c r="D5" s="19">
        <f>SUM(16.11+16.14)/2</f>
        <v>16.125</v>
      </c>
    </row>
    <row r="6" spans="1:4" x14ac:dyDescent="0.25">
      <c r="A6" s="11" t="s">
        <v>28</v>
      </c>
      <c r="B6" s="36">
        <f>+'FY 2017 NMT Analysis'!B6</f>
        <v>3239473.7707873718</v>
      </c>
      <c r="C6" s="37">
        <f t="shared" ref="C6:C7" si="0">+B6*D6</f>
        <v>52236514.553946368</v>
      </c>
      <c r="D6" s="19">
        <f t="shared" ref="D6:D7" si="1">SUM(16.11+16.14)/2</f>
        <v>16.125</v>
      </c>
    </row>
    <row r="7" spans="1:4" x14ac:dyDescent="0.25">
      <c r="A7" s="11" t="s">
        <v>12</v>
      </c>
      <c r="B7" s="36">
        <f>+'FY 2017 NMT Analysis'!B7</f>
        <v>93317.908049404112</v>
      </c>
      <c r="C7" s="37">
        <f t="shared" si="0"/>
        <v>1504751.2672966414</v>
      </c>
      <c r="D7" s="19">
        <f t="shared" si="1"/>
        <v>16.125</v>
      </c>
    </row>
    <row r="8" spans="1:4" x14ac:dyDescent="0.25">
      <c r="A8" s="11"/>
      <c r="B8" s="16"/>
      <c r="C8" s="17"/>
      <c r="D8" s="18"/>
    </row>
    <row r="9" spans="1:4" x14ac:dyDescent="0.25">
      <c r="A9" s="25" t="s">
        <v>35</v>
      </c>
      <c r="B9" s="26">
        <f>SUM(B5:B7)</f>
        <v>8825124.2109354716</v>
      </c>
      <c r="C9" s="27">
        <f>SUM(C5:C7)</f>
        <v>142305127.90133446</v>
      </c>
      <c r="D9" s="33">
        <f>+C9/B9</f>
        <v>16.125</v>
      </c>
    </row>
    <row r="12" spans="1:4" x14ac:dyDescent="0.25">
      <c r="A12" s="38" t="s">
        <v>60</v>
      </c>
      <c r="B12" s="39" t="s">
        <v>57</v>
      </c>
      <c r="C12" s="39" t="s">
        <v>30</v>
      </c>
      <c r="D12" s="40" t="s">
        <v>59</v>
      </c>
    </row>
    <row r="13" spans="1:4" x14ac:dyDescent="0.25">
      <c r="A13" s="41" t="s">
        <v>27</v>
      </c>
      <c r="B13" s="36">
        <f>+B5</f>
        <v>5492332.5320986956</v>
      </c>
      <c r="C13" s="37">
        <f>+C5-'FY 2017 NMT Analysis'!C5</f>
        <v>-14966516.69990854</v>
      </c>
      <c r="D13" s="46">
        <f>+D5-'FY 2017 NMT Analysis'!D5</f>
        <v>-2.7249837136480934</v>
      </c>
    </row>
    <row r="14" spans="1:4" x14ac:dyDescent="0.25">
      <c r="A14" s="41" t="s">
        <v>28</v>
      </c>
      <c r="B14" s="36">
        <f>+B6</f>
        <v>3239473.7707873718</v>
      </c>
      <c r="C14" s="37">
        <f>+C6-'FY 2017 NMT Analysis'!C6</f>
        <v>-8107762.2960536331</v>
      </c>
      <c r="D14" s="46">
        <f>+D6-'FY 2017 NMT Analysis'!D6</f>
        <v>-2.502802266580165</v>
      </c>
    </row>
    <row r="15" spans="1:4" x14ac:dyDescent="0.25">
      <c r="A15" s="41" t="s">
        <v>12</v>
      </c>
      <c r="B15" s="36">
        <f>+B7</f>
        <v>93317.908049404112</v>
      </c>
      <c r="C15" s="37">
        <f>+C7-'FY 2017 NMT Analysis'!C7</f>
        <v>-271932.4427033586</v>
      </c>
      <c r="D15" s="46">
        <f>+D7-'FY 2017 NMT Analysis'!D7</f>
        <v>-2.9140434926958818</v>
      </c>
    </row>
    <row r="16" spans="1:4" x14ac:dyDescent="0.25">
      <c r="A16" s="41"/>
      <c r="B16" s="16"/>
      <c r="C16" s="17"/>
      <c r="D16" s="42"/>
    </row>
    <row r="17" spans="1:4" x14ac:dyDescent="0.25">
      <c r="A17" s="25" t="s">
        <v>35</v>
      </c>
      <c r="B17" s="26">
        <f>SUM(B13:B15)</f>
        <v>8825124.2109354716</v>
      </c>
      <c r="C17" s="27">
        <f>SUM(C13:C15)</f>
        <v>-23346211.438665532</v>
      </c>
      <c r="D17" s="33">
        <f>+C17/B17</f>
        <v>-2.6454258184532464</v>
      </c>
    </row>
    <row r="20" spans="1:4" x14ac:dyDescent="0.25">
      <c r="A20" s="15" t="s">
        <v>61</v>
      </c>
      <c r="B20" s="15" t="s">
        <v>57</v>
      </c>
      <c r="C20" s="15" t="s">
        <v>30</v>
      </c>
      <c r="D20" s="15" t="s">
        <v>59</v>
      </c>
    </row>
    <row r="21" spans="1:4" x14ac:dyDescent="0.25">
      <c r="A21" s="11" t="s">
        <v>27</v>
      </c>
      <c r="B21" s="36">
        <f>+B5*0.82</f>
        <v>4503712.67632093</v>
      </c>
      <c r="C21" s="37">
        <f t="shared" ref="C21:C23" si="2">+B21*D21</f>
        <v>72622366.905674994</v>
      </c>
      <c r="D21" s="19">
        <f t="shared" ref="D21:D23" si="3">SUM(16.11+16.14)/2</f>
        <v>16.125</v>
      </c>
    </row>
    <row r="22" spans="1:4" x14ac:dyDescent="0.25">
      <c r="A22" s="11" t="s">
        <v>28</v>
      </c>
      <c r="B22" s="36">
        <f>+B6*0.93</f>
        <v>3012710.6068322561</v>
      </c>
      <c r="C22" s="37">
        <f t="shared" si="2"/>
        <v>48579958.53517013</v>
      </c>
      <c r="D22" s="19">
        <f t="shared" si="3"/>
        <v>16.125</v>
      </c>
    </row>
    <row r="23" spans="1:4" x14ac:dyDescent="0.25">
      <c r="A23" s="11" t="s">
        <v>12</v>
      </c>
      <c r="B23" s="36">
        <f>+B7*0.93</f>
        <v>86785.654485945823</v>
      </c>
      <c r="C23" s="37">
        <f t="shared" si="2"/>
        <v>1399418.6785858765</v>
      </c>
      <c r="D23" s="19">
        <f t="shared" si="3"/>
        <v>16.125</v>
      </c>
    </row>
    <row r="24" spans="1:4" x14ac:dyDescent="0.25">
      <c r="A24" s="11"/>
      <c r="B24" s="16"/>
      <c r="C24" s="17"/>
      <c r="D24" s="18"/>
    </row>
    <row r="25" spans="1:4" x14ac:dyDescent="0.25">
      <c r="A25" s="25" t="s">
        <v>35</v>
      </c>
      <c r="B25" s="26">
        <f>SUM(B21:B23)</f>
        <v>7603208.9376391312</v>
      </c>
      <c r="C25" s="27">
        <f>SUM(C21:C23)</f>
        <v>122601744.119431</v>
      </c>
      <c r="D25" s="33">
        <f>+C25/B25</f>
        <v>16.125</v>
      </c>
    </row>
    <row r="28" spans="1:4" x14ac:dyDescent="0.25">
      <c r="A28" s="15" t="s">
        <v>62</v>
      </c>
      <c r="B28" s="15" t="s">
        <v>57</v>
      </c>
      <c r="C28" s="15" t="s">
        <v>30</v>
      </c>
      <c r="D28" s="15" t="s">
        <v>59</v>
      </c>
    </row>
    <row r="29" spans="1:4" x14ac:dyDescent="0.25">
      <c r="A29" s="11" t="s">
        <v>27</v>
      </c>
      <c r="B29" s="36">
        <f>+B5*0.18</f>
        <v>988619.85577776516</v>
      </c>
      <c r="C29" s="37">
        <f t="shared" ref="C29:C31" si="4">+B29*D29</f>
        <v>26015531.504791889</v>
      </c>
      <c r="D29" s="19">
        <f>SUM(16.11+16.14)/2+10.19</f>
        <v>26.314999999999998</v>
      </c>
    </row>
    <row r="30" spans="1:4" x14ac:dyDescent="0.25">
      <c r="A30" s="11" t="s">
        <v>28</v>
      </c>
      <c r="B30" s="36">
        <f>+B6*0.07</f>
        <v>226763.16395511603</v>
      </c>
      <c r="C30" s="37">
        <f t="shared" si="4"/>
        <v>5967272.6594788777</v>
      </c>
      <c r="D30" s="19">
        <f t="shared" ref="D30:D31" si="5">SUM(16.11+16.14)/2+10.19</f>
        <v>26.314999999999998</v>
      </c>
    </row>
    <row r="31" spans="1:4" x14ac:dyDescent="0.25">
      <c r="A31" s="11" t="s">
        <v>12</v>
      </c>
      <c r="B31" s="36">
        <f>+B7*0.07</f>
        <v>6532.2535634582882</v>
      </c>
      <c r="C31" s="37">
        <f t="shared" si="4"/>
        <v>171896.25252240483</v>
      </c>
      <c r="D31" s="19">
        <f t="shared" si="5"/>
        <v>26.314999999999998</v>
      </c>
    </row>
    <row r="32" spans="1:4" x14ac:dyDescent="0.25">
      <c r="A32" s="11"/>
      <c r="B32" s="16"/>
      <c r="C32" s="17"/>
      <c r="D32" s="18"/>
    </row>
    <row r="33" spans="1:4" x14ac:dyDescent="0.25">
      <c r="A33" s="25" t="s">
        <v>35</v>
      </c>
      <c r="B33" s="26">
        <f>SUM(B29:B31)</f>
        <v>1221915.2732963394</v>
      </c>
      <c r="C33" s="27">
        <f>SUM(C29:C31)</f>
        <v>32154700.416793171</v>
      </c>
      <c r="D33" s="33">
        <f>+C33/B33</f>
        <v>26.314999999999998</v>
      </c>
    </row>
    <row r="36" spans="1:4" x14ac:dyDescent="0.25">
      <c r="A36" s="15" t="s">
        <v>64</v>
      </c>
      <c r="B36" s="15" t="s">
        <v>57</v>
      </c>
      <c r="C36" s="15" t="s">
        <v>30</v>
      </c>
      <c r="D36" s="15" t="s">
        <v>59</v>
      </c>
    </row>
    <row r="37" spans="1:4" x14ac:dyDescent="0.25">
      <c r="A37" s="11" t="s">
        <v>27</v>
      </c>
      <c r="B37" s="36">
        <f>+B29+B21</f>
        <v>5492332.5320986956</v>
      </c>
      <c r="C37" s="37">
        <f>+C29+C21</f>
        <v>98637898.41046688</v>
      </c>
      <c r="D37" s="19">
        <f>+C37/B37</f>
        <v>17.959199999999996</v>
      </c>
    </row>
    <row r="38" spans="1:4" x14ac:dyDescent="0.25">
      <c r="A38" s="11" t="s">
        <v>28</v>
      </c>
      <c r="B38" s="36">
        <f t="shared" ref="B38:C39" si="6">+B30+B22</f>
        <v>3239473.7707873723</v>
      </c>
      <c r="C38" s="37">
        <f t="shared" si="6"/>
        <v>54547231.194649011</v>
      </c>
      <c r="D38" s="19">
        <f t="shared" ref="D38:D39" si="7">+C38/B38</f>
        <v>16.8383</v>
      </c>
    </row>
    <row r="39" spans="1:4" x14ac:dyDescent="0.25">
      <c r="A39" s="11" t="s">
        <v>12</v>
      </c>
      <c r="B39" s="36">
        <f t="shared" si="6"/>
        <v>93317.908049404112</v>
      </c>
      <c r="C39" s="37">
        <f t="shared" si="6"/>
        <v>1571314.9311082812</v>
      </c>
      <c r="D39" s="19">
        <f t="shared" si="7"/>
        <v>16.8383</v>
      </c>
    </row>
    <row r="40" spans="1:4" x14ac:dyDescent="0.25">
      <c r="A40" s="11"/>
      <c r="B40" s="16"/>
      <c r="C40" s="17"/>
      <c r="D40" s="18"/>
    </row>
    <row r="41" spans="1:4" x14ac:dyDescent="0.25">
      <c r="A41" s="25" t="s">
        <v>35</v>
      </c>
      <c r="B41" s="26">
        <f>SUM(B37:B39)</f>
        <v>8825124.2109354734</v>
      </c>
      <c r="C41" s="27">
        <f>SUM(C37:C39)</f>
        <v>154756444.53622419</v>
      </c>
      <c r="D41" s="33">
        <f>+C41/B41</f>
        <v>17.535894208090678</v>
      </c>
    </row>
    <row r="44" spans="1:4" x14ac:dyDescent="0.25">
      <c r="A44" s="38" t="s">
        <v>63</v>
      </c>
      <c r="B44" s="39" t="s">
        <v>57</v>
      </c>
      <c r="C44" s="39" t="s">
        <v>30</v>
      </c>
      <c r="D44" s="40" t="s">
        <v>59</v>
      </c>
    </row>
    <row r="45" spans="1:4" x14ac:dyDescent="0.25">
      <c r="A45" s="41" t="s">
        <v>27</v>
      </c>
      <c r="B45" s="36">
        <f>+B37</f>
        <v>5492332.5320986956</v>
      </c>
      <c r="C45" s="37">
        <f>+C37-'FY 2017 NMT Analysis'!C5</f>
        <v>-4892480.3695331216</v>
      </c>
      <c r="D45" s="46">
        <f>+C45/B45</f>
        <v>-0.89078371364809505</v>
      </c>
    </row>
    <row r="46" spans="1:4" x14ac:dyDescent="0.25">
      <c r="A46" s="41" t="s">
        <v>28</v>
      </c>
      <c r="B46" s="36">
        <f>+B38</f>
        <v>3239473.7707873723</v>
      </c>
      <c r="C46" s="37">
        <f>+C38-'FY 2017 NMT Analysis'!C6</f>
        <v>-5797045.6553509906</v>
      </c>
      <c r="D46" s="46">
        <f t="shared" ref="D46:D47" si="8">+C46/B46</f>
        <v>-1.7895022665801632</v>
      </c>
    </row>
    <row r="47" spans="1:4" x14ac:dyDescent="0.25">
      <c r="A47" s="41" t="s">
        <v>12</v>
      </c>
      <c r="B47" s="36">
        <f>+B39</f>
        <v>93317.908049404112</v>
      </c>
      <c r="C47" s="37">
        <f>+C39-'FY 2017 NMT Analysis'!C7</f>
        <v>-205368.77889171871</v>
      </c>
      <c r="D47" s="46">
        <f t="shared" si="8"/>
        <v>-2.2007434926958815</v>
      </c>
    </row>
    <row r="48" spans="1:4" x14ac:dyDescent="0.25">
      <c r="A48" s="41"/>
      <c r="B48" s="16"/>
      <c r="C48" s="17"/>
      <c r="D48" s="42"/>
    </row>
    <row r="49" spans="1:4" x14ac:dyDescent="0.25">
      <c r="A49" s="25" t="s">
        <v>35</v>
      </c>
      <c r="B49" s="26">
        <f>SUM(B45:B47)</f>
        <v>8825124.2109354734</v>
      </c>
      <c r="C49" s="27">
        <f>SUM(C45:C47)</f>
        <v>-10894894.80377583</v>
      </c>
      <c r="D49" s="33">
        <f>+C49/B49</f>
        <v>-1.234531610362565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55B30-C4D5-4BA2-BF68-D0DA09D82347}">
  <dimension ref="A1:D25"/>
  <sheetViews>
    <sheetView workbookViewId="0">
      <selection activeCell="A4" sqref="A4:D25"/>
    </sheetView>
  </sheetViews>
  <sheetFormatPr defaultRowHeight="15" x14ac:dyDescent="0.25"/>
  <cols>
    <col min="1" max="2" width="20.7109375" customWidth="1"/>
    <col min="3" max="4" width="15.7109375" customWidth="1"/>
  </cols>
  <sheetData>
    <row r="1" spans="1:4" ht="18.75" x14ac:dyDescent="0.3">
      <c r="A1" s="14" t="s">
        <v>56</v>
      </c>
    </row>
    <row r="2" spans="1:4" ht="18.75" x14ac:dyDescent="0.3">
      <c r="A2" s="14"/>
    </row>
    <row r="4" spans="1:4" x14ac:dyDescent="0.25">
      <c r="A4" s="15" t="s">
        <v>58</v>
      </c>
      <c r="B4" s="15" t="s">
        <v>57</v>
      </c>
      <c r="C4" s="15" t="s">
        <v>30</v>
      </c>
      <c r="D4" s="15" t="s">
        <v>59</v>
      </c>
    </row>
    <row r="5" spans="1:4" x14ac:dyDescent="0.25">
      <c r="A5" s="11" t="s">
        <v>27</v>
      </c>
      <c r="B5" s="34">
        <f>+B13+SUM(C21/D13)</f>
        <v>5492332.5320986956</v>
      </c>
      <c r="C5" s="35">
        <f>+B5*D13</f>
        <v>103530378.78</v>
      </c>
      <c r="D5" s="18">
        <f>+C5/B5</f>
        <v>18.849983713648093</v>
      </c>
    </row>
    <row r="6" spans="1:4" x14ac:dyDescent="0.25">
      <c r="A6" s="11" t="s">
        <v>28</v>
      </c>
      <c r="B6" s="34">
        <f>+B14+SUM(C22/D14)</f>
        <v>3239473.7707873718</v>
      </c>
      <c r="C6" s="35">
        <f>+B6*D14</f>
        <v>60344276.850000001</v>
      </c>
      <c r="D6" s="18">
        <f t="shared" ref="D6:D7" si="0">+C6/B6</f>
        <v>18.627802266580165</v>
      </c>
    </row>
    <row r="7" spans="1:4" x14ac:dyDescent="0.25">
      <c r="A7" s="11" t="s">
        <v>12</v>
      </c>
      <c r="B7" s="34">
        <f>+B15+SUM(C23/D15)</f>
        <v>93317.908049404112</v>
      </c>
      <c r="C7" s="35">
        <f>+B7*D15</f>
        <v>1776683.71</v>
      </c>
      <c r="D7" s="18">
        <f t="shared" si="0"/>
        <v>19.039043492695882</v>
      </c>
    </row>
    <row r="8" spans="1:4" x14ac:dyDescent="0.25">
      <c r="A8" s="11"/>
      <c r="B8" s="16"/>
      <c r="C8" s="17"/>
      <c r="D8" s="18"/>
    </row>
    <row r="9" spans="1:4" x14ac:dyDescent="0.25">
      <c r="A9" s="25" t="s">
        <v>35</v>
      </c>
      <c r="B9" s="26">
        <f>SUM(B5:B7)</f>
        <v>8825124.2109354716</v>
      </c>
      <c r="C9" s="27">
        <f>SUM(C5:C7)</f>
        <v>165651339.34</v>
      </c>
      <c r="D9" s="33">
        <f>+C9/B9</f>
        <v>18.770425818453244</v>
      </c>
    </row>
    <row r="12" spans="1:4" x14ac:dyDescent="0.25">
      <c r="A12" s="15" t="s">
        <v>45</v>
      </c>
      <c r="B12" s="15" t="s">
        <v>57</v>
      </c>
      <c r="C12" s="15" t="s">
        <v>30</v>
      </c>
      <c r="D12" s="15" t="s">
        <v>59</v>
      </c>
    </row>
    <row r="13" spans="1:4" x14ac:dyDescent="0.25">
      <c r="A13" s="11" t="s">
        <v>27</v>
      </c>
      <c r="B13" s="16">
        <f>+'DODD Data'!D7</f>
        <v>5391017</v>
      </c>
      <c r="C13" s="17">
        <f>+'DODD Data'!E7</f>
        <v>101620582.65000001</v>
      </c>
      <c r="D13" s="18">
        <f>+C13/B13</f>
        <v>18.849983713648093</v>
      </c>
    </row>
    <row r="14" spans="1:4" x14ac:dyDescent="0.25">
      <c r="A14" s="11" t="s">
        <v>28</v>
      </c>
      <c r="B14" s="16">
        <f>+'DODD Data'!D10</f>
        <v>3190710</v>
      </c>
      <c r="C14" s="17">
        <f>+'DODD Data'!E10</f>
        <v>59435914.969999999</v>
      </c>
      <c r="D14" s="18">
        <f t="shared" ref="D14:D15" si="1">+C14/B14</f>
        <v>18.627802266580165</v>
      </c>
    </row>
    <row r="15" spans="1:4" x14ac:dyDescent="0.25">
      <c r="A15" s="11" t="s">
        <v>12</v>
      </c>
      <c r="B15" s="16">
        <f>+'DODD Data'!D12</f>
        <v>90360</v>
      </c>
      <c r="C15" s="17">
        <f>+'DODD Data'!E12</f>
        <v>1720367.97</v>
      </c>
      <c r="D15" s="18">
        <f t="shared" si="1"/>
        <v>19.039043492695882</v>
      </c>
    </row>
    <row r="16" spans="1:4" x14ac:dyDescent="0.25">
      <c r="A16" s="11"/>
      <c r="B16" s="16"/>
      <c r="C16" s="17"/>
      <c r="D16" s="18"/>
    </row>
    <row r="17" spans="1:4" x14ac:dyDescent="0.25">
      <c r="A17" s="25" t="s">
        <v>35</v>
      </c>
      <c r="B17" s="26">
        <f>SUM(B13:B15)</f>
        <v>8672087</v>
      </c>
      <c r="C17" s="27">
        <f>SUM(C13:C15)</f>
        <v>162776865.59</v>
      </c>
      <c r="D17" s="33">
        <f>+C17/B17</f>
        <v>18.770206709180847</v>
      </c>
    </row>
    <row r="20" spans="1:4" x14ac:dyDescent="0.25">
      <c r="A20" s="15" t="s">
        <v>45</v>
      </c>
      <c r="B20" s="15" t="s">
        <v>29</v>
      </c>
      <c r="C20" s="15" t="s">
        <v>30</v>
      </c>
      <c r="D20" s="15" t="s">
        <v>31</v>
      </c>
    </row>
    <row r="21" spans="1:4" x14ac:dyDescent="0.25">
      <c r="A21" s="11" t="s">
        <v>27</v>
      </c>
      <c r="B21" s="16">
        <f>+'DODD Data'!D8</f>
        <v>1813557</v>
      </c>
      <c r="C21" s="17">
        <f>+'DODD Data'!E8</f>
        <v>1909796.13</v>
      </c>
      <c r="D21" s="18">
        <f>+C21/B21</f>
        <v>1.0530665041131875</v>
      </c>
    </row>
    <row r="22" spans="1:4" x14ac:dyDescent="0.25">
      <c r="A22" s="11" t="s">
        <v>28</v>
      </c>
      <c r="B22" s="16">
        <f>+'DODD Data'!D11</f>
        <v>820665</v>
      </c>
      <c r="C22" s="17">
        <f>+'DODD Data'!E11</f>
        <v>908361.88</v>
      </c>
      <c r="D22" s="18">
        <f t="shared" ref="D22:D23" si="2">+C22/B22</f>
        <v>1.1068607531696855</v>
      </c>
    </row>
    <row r="23" spans="1:4" x14ac:dyDescent="0.25">
      <c r="A23" s="11" t="s">
        <v>12</v>
      </c>
      <c r="B23" s="16">
        <f>+'DODD Data'!D13</f>
        <v>49326</v>
      </c>
      <c r="C23" s="17">
        <f>+'DODD Data'!E13</f>
        <v>56315.74</v>
      </c>
      <c r="D23" s="18">
        <f t="shared" si="2"/>
        <v>1.1417049831731743</v>
      </c>
    </row>
    <row r="24" spans="1:4" x14ac:dyDescent="0.25">
      <c r="A24" s="11"/>
      <c r="B24" s="16"/>
      <c r="C24" s="17"/>
      <c r="D24" s="18"/>
    </row>
    <row r="25" spans="1:4" x14ac:dyDescent="0.25">
      <c r="A25" s="25" t="s">
        <v>35</v>
      </c>
      <c r="B25" s="26">
        <f>SUM(B21:B23)</f>
        <v>2683548</v>
      </c>
      <c r="C25" s="27">
        <f>SUM(C21:C23)</f>
        <v>2874473.75</v>
      </c>
      <c r="D25" s="33">
        <f>+C25/B25</f>
        <v>1.0711467616752151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ACF90-CC5F-46F1-8023-C249ACA77393}">
  <dimension ref="A1:F57"/>
  <sheetViews>
    <sheetView topLeftCell="A31" workbookViewId="0">
      <selection activeCell="A36" sqref="A36:F57"/>
    </sheetView>
  </sheetViews>
  <sheetFormatPr defaultRowHeight="15" x14ac:dyDescent="0.25"/>
  <cols>
    <col min="1" max="1" width="35.7109375" customWidth="1"/>
    <col min="2" max="6" width="15.7109375" customWidth="1"/>
  </cols>
  <sheetData>
    <row r="1" spans="1:6" ht="18.75" x14ac:dyDescent="0.3">
      <c r="A1" s="14" t="s">
        <v>50</v>
      </c>
    </row>
    <row r="4" spans="1:6" x14ac:dyDescent="0.25">
      <c r="A4" s="15" t="s">
        <v>53</v>
      </c>
      <c r="B4" s="15" t="s">
        <v>29</v>
      </c>
      <c r="C4" s="15" t="s">
        <v>30</v>
      </c>
      <c r="D4" s="15" t="s">
        <v>31</v>
      </c>
      <c r="E4" s="15" t="s">
        <v>48</v>
      </c>
      <c r="F4" s="15" t="s">
        <v>49</v>
      </c>
    </row>
    <row r="5" spans="1:6" x14ac:dyDescent="0.25">
      <c r="A5" s="44" t="s">
        <v>72</v>
      </c>
      <c r="B5" s="16">
        <f>+B13+B21+B29+B37+B45+B53</f>
        <v>28731195.314999998</v>
      </c>
      <c r="C5" s="17">
        <f>+C13+C21+C29+C37+C45+C53</f>
        <v>18301998.581099998</v>
      </c>
      <c r="D5" s="22">
        <f>+C5/B5</f>
        <v>0.63700790657828565</v>
      </c>
      <c r="E5" s="17">
        <f>+C5-'FY 2017 Mileage Analysis'!C5</f>
        <v>6540896.7935999986</v>
      </c>
      <c r="F5" s="29">
        <f>+E5/'FY 2017 Mileage Analysis'!C5</f>
        <v>0.55614660188995479</v>
      </c>
    </row>
    <row r="6" spans="1:6" x14ac:dyDescent="0.25">
      <c r="A6" s="44" t="s">
        <v>73</v>
      </c>
      <c r="B6" s="16">
        <f t="shared" ref="B6:C7" si="0">+B14+B22+B30+B38+B46+B54</f>
        <v>9548077.4759999998</v>
      </c>
      <c r="C6" s="17">
        <f t="shared" si="0"/>
        <v>2992627.0021199998</v>
      </c>
      <c r="D6" s="22">
        <f t="shared" ref="D6:D7" si="1">+C6/B6</f>
        <v>0.31342718046038609</v>
      </c>
      <c r="E6" s="17">
        <f>+C6-'FY 2017 Mileage Analysis'!C6</f>
        <v>914403.90411999985</v>
      </c>
      <c r="F6" s="29">
        <f>+E6/'FY 2017 Mileage Analysis'!C6</f>
        <v>0.43999313885019664</v>
      </c>
    </row>
    <row r="7" spans="1:6" x14ac:dyDescent="0.25">
      <c r="A7" s="44" t="s">
        <v>74</v>
      </c>
      <c r="B7" s="16">
        <f t="shared" si="0"/>
        <v>2933577.6090000002</v>
      </c>
      <c r="C7" s="17">
        <f t="shared" si="0"/>
        <v>680607.84247499995</v>
      </c>
      <c r="D7" s="22">
        <f t="shared" si="1"/>
        <v>0.2320060803528583</v>
      </c>
      <c r="E7" s="17">
        <f>+C7-'FY 2017 Mileage Analysis'!C7</f>
        <v>205948.1819749999</v>
      </c>
      <c r="F7" s="29">
        <f>+E7/'FY 2017 Mileage Analysis'!C7</f>
        <v>0.43388600109404046</v>
      </c>
    </row>
    <row r="8" spans="1:6" x14ac:dyDescent="0.25">
      <c r="A8" s="11"/>
      <c r="B8" s="16"/>
      <c r="C8" s="17"/>
      <c r="D8" s="18"/>
      <c r="F8" s="11"/>
    </row>
    <row r="9" spans="1:6" x14ac:dyDescent="0.25">
      <c r="A9" s="25" t="s">
        <v>35</v>
      </c>
      <c r="B9" s="26">
        <f>SUM(B5:B7)</f>
        <v>41212850.399999991</v>
      </c>
      <c r="C9" s="27">
        <f>SUM(C5:C7)</f>
        <v>21975233.425694998</v>
      </c>
      <c r="D9" s="30">
        <f>+C9/B9</f>
        <v>0.53321314134814135</v>
      </c>
      <c r="E9" s="27">
        <f>SUM(E5:E7)</f>
        <v>7661248.8796949983</v>
      </c>
      <c r="F9" s="31">
        <f>+E9/'FY 2017 Mileage Analysis'!C9</f>
        <v>0.53522824864554663</v>
      </c>
    </row>
    <row r="10" spans="1:6" x14ac:dyDescent="0.25">
      <c r="A10" s="11"/>
      <c r="B10" s="16"/>
      <c r="C10" s="17"/>
      <c r="D10" s="18"/>
    </row>
    <row r="11" spans="1:6" x14ac:dyDescent="0.25">
      <c r="A11" s="11"/>
      <c r="B11" s="16"/>
      <c r="C11" s="17"/>
      <c r="D11" s="18"/>
    </row>
    <row r="12" spans="1:6" x14ac:dyDescent="0.25">
      <c r="A12" s="15" t="s">
        <v>54</v>
      </c>
      <c r="B12" s="15" t="s">
        <v>29</v>
      </c>
      <c r="C12" s="15" t="s">
        <v>30</v>
      </c>
      <c r="D12" s="15" t="s">
        <v>32</v>
      </c>
      <c r="E12" s="15" t="s">
        <v>33</v>
      </c>
      <c r="F12" s="15" t="s">
        <v>34</v>
      </c>
    </row>
    <row r="13" spans="1:6" x14ac:dyDescent="0.25">
      <c r="A13" s="11" t="s">
        <v>39</v>
      </c>
      <c r="B13" s="32">
        <f>+'DODD Data'!B26*0.82</f>
        <v>18956644.379999999</v>
      </c>
      <c r="C13" s="20">
        <f>+B13*D13</f>
        <v>10236587.9652</v>
      </c>
      <c r="D13" s="21">
        <v>0.54</v>
      </c>
      <c r="E13" s="23">
        <f>+B13/$B$17</f>
        <v>0.67624730477913009</v>
      </c>
      <c r="F13" s="23">
        <f>+C13/$C$17</f>
        <v>0.81656616663892845</v>
      </c>
    </row>
    <row r="14" spans="1:6" x14ac:dyDescent="0.25">
      <c r="A14" s="11" t="s">
        <v>40</v>
      </c>
      <c r="B14" s="32">
        <f>+'DODD Data'!B27*0.82</f>
        <v>6920821.3199999994</v>
      </c>
      <c r="C14" s="20">
        <f t="shared" ref="C14:C15" si="2">+B14*D14</f>
        <v>1868621.7563999998</v>
      </c>
      <c r="D14" s="21">
        <v>0.27</v>
      </c>
      <c r="E14" s="23">
        <f>+B14/$B$17</f>
        <v>0.24688898893127526</v>
      </c>
      <c r="F14" s="23">
        <f>+C14/$C$17</f>
        <v>0.14905877912727319</v>
      </c>
    </row>
    <row r="15" spans="1:6" x14ac:dyDescent="0.25">
      <c r="A15" s="11" t="s">
        <v>41</v>
      </c>
      <c r="B15" s="32">
        <f>+'DODD Data'!B28*0.82</f>
        <v>2154652.5</v>
      </c>
      <c r="C15" s="20">
        <f t="shared" si="2"/>
        <v>430930.5</v>
      </c>
      <c r="D15" s="21">
        <v>0.2</v>
      </c>
      <c r="E15" s="23">
        <f>+B15/$B$17</f>
        <v>7.686370628959463E-2</v>
      </c>
      <c r="F15" s="23">
        <f>+C15/$C$17</f>
        <v>3.4375054233798281E-2</v>
      </c>
    </row>
    <row r="17" spans="1:6" x14ac:dyDescent="0.25">
      <c r="A17" s="25" t="s">
        <v>35</v>
      </c>
      <c r="B17" s="26">
        <f>SUM(B13:B15)</f>
        <v>28032118.199999999</v>
      </c>
      <c r="C17" s="27">
        <f>SUM(C13:C15)</f>
        <v>12536140.2216</v>
      </c>
      <c r="D17" s="28">
        <f>+C17/B17</f>
        <v>0.44720631285009349</v>
      </c>
    </row>
    <row r="18" spans="1:6" x14ac:dyDescent="0.25">
      <c r="A18" s="11"/>
      <c r="B18" s="16"/>
      <c r="C18" s="17"/>
      <c r="D18" s="22"/>
    </row>
    <row r="20" spans="1:6" x14ac:dyDescent="0.25">
      <c r="A20" s="15" t="s">
        <v>55</v>
      </c>
      <c r="B20" s="15" t="s">
        <v>29</v>
      </c>
      <c r="C20" s="15" t="s">
        <v>30</v>
      </c>
      <c r="D20" s="15" t="s">
        <v>32</v>
      </c>
      <c r="E20" s="15" t="s">
        <v>33</v>
      </c>
      <c r="F20" s="15" t="s">
        <v>34</v>
      </c>
    </row>
    <row r="21" spans="1:6" x14ac:dyDescent="0.25">
      <c r="A21" s="11" t="s">
        <v>36</v>
      </c>
      <c r="B21" s="32">
        <f>+'DODD Data'!B30*0.93</f>
        <v>2322119.79</v>
      </c>
      <c r="C21" s="20">
        <f>+B21*D21</f>
        <v>1253944.6866000001</v>
      </c>
      <c r="D21" s="21">
        <v>0.54</v>
      </c>
      <c r="E21" s="23">
        <f>+B21/$B$25</f>
        <v>0.8097765260761739</v>
      </c>
      <c r="F21" s="23">
        <f>+C21/$C$25</f>
        <v>0.90031863936308509</v>
      </c>
    </row>
    <row r="22" spans="1:6" x14ac:dyDescent="0.25">
      <c r="A22" s="11" t="s">
        <v>37</v>
      </c>
      <c r="B22" s="32">
        <f>+'DODD Data'!B31*0.93</f>
        <v>424812.84</v>
      </c>
      <c r="C22" s="20">
        <f t="shared" ref="C22:C23" si="3">+B22*D22</f>
        <v>114699.46680000001</v>
      </c>
      <c r="D22" s="21">
        <v>0.27</v>
      </c>
      <c r="E22" s="23">
        <f t="shared" ref="E22:E23" si="4">+B22/$B$25</f>
        <v>0.14814199822471411</v>
      </c>
      <c r="F22" s="23">
        <f t="shared" ref="F22:F23" si="5">+C22/$C$25</f>
        <v>8.235296898545616E-2</v>
      </c>
    </row>
    <row r="23" spans="1:6" x14ac:dyDescent="0.25">
      <c r="A23" s="11" t="s">
        <v>38</v>
      </c>
      <c r="B23" s="32">
        <f>+'DODD Data'!B32*0.93</f>
        <v>120673.08</v>
      </c>
      <c r="C23" s="20">
        <f t="shared" si="3"/>
        <v>24134.616000000002</v>
      </c>
      <c r="D23" s="21">
        <v>0.2</v>
      </c>
      <c r="E23" s="23">
        <f t="shared" si="4"/>
        <v>4.2081475699112067E-2</v>
      </c>
      <c r="F23" s="23">
        <f t="shared" si="5"/>
        <v>1.7328391651458785E-2</v>
      </c>
    </row>
    <row r="25" spans="1:6" x14ac:dyDescent="0.25">
      <c r="A25" s="25" t="s">
        <v>35</v>
      </c>
      <c r="B25" s="26">
        <f>SUM(B21:B23)</f>
        <v>2867605.71</v>
      </c>
      <c r="C25" s="27">
        <f>SUM(C21:C23)</f>
        <v>1392778.7694000001</v>
      </c>
      <c r="D25" s="28">
        <f>+C25/B25</f>
        <v>0.48569395874162913</v>
      </c>
    </row>
    <row r="26" spans="1:6" x14ac:dyDescent="0.25">
      <c r="A26" s="11"/>
      <c r="B26" s="16"/>
      <c r="C26" s="17"/>
      <c r="D26" s="22"/>
    </row>
    <row r="28" spans="1:6" x14ac:dyDescent="0.25">
      <c r="A28" s="15" t="s">
        <v>55</v>
      </c>
      <c r="B28" s="15" t="s">
        <v>29</v>
      </c>
      <c r="C28" s="15" t="s">
        <v>30</v>
      </c>
      <c r="D28" s="15" t="s">
        <v>32</v>
      </c>
      <c r="E28" s="15" t="s">
        <v>33</v>
      </c>
      <c r="F28" s="15" t="s">
        <v>34</v>
      </c>
    </row>
    <row r="29" spans="1:6" x14ac:dyDescent="0.25">
      <c r="A29" s="11" t="s">
        <v>42</v>
      </c>
      <c r="B29" s="32">
        <f>+'DODD Data'!B34*0.93</f>
        <v>484548.36750000005</v>
      </c>
      <c r="C29" s="20">
        <f>+B29*D29</f>
        <v>261656.11845000004</v>
      </c>
      <c r="D29" s="21">
        <v>0.54</v>
      </c>
      <c r="E29" s="23">
        <f>+B29/$B$33</f>
        <v>0.75</v>
      </c>
      <c r="F29" s="23">
        <f>+C29/$C$33</f>
        <v>0.86353944562899787</v>
      </c>
    </row>
    <row r="30" spans="1:6" x14ac:dyDescent="0.25">
      <c r="A30" s="11" t="s">
        <v>43</v>
      </c>
      <c r="B30" s="32">
        <f>+'DODD Data'!B35*0.93</f>
        <v>129212.89800000002</v>
      </c>
      <c r="C30" s="20">
        <f t="shared" ref="C30:C31" si="6">+B30*D30</f>
        <v>34887.482460000007</v>
      </c>
      <c r="D30" s="21">
        <v>0.27</v>
      </c>
      <c r="E30" s="23">
        <f t="shared" ref="E30:E31" si="7">+B30/$B$33</f>
        <v>0.19999999999999998</v>
      </c>
      <c r="F30" s="23">
        <f t="shared" ref="F30:F31" si="8">+C30/$C$33</f>
        <v>0.11513859275053305</v>
      </c>
    </row>
    <row r="31" spans="1:6" x14ac:dyDescent="0.25">
      <c r="A31" s="11" t="s">
        <v>44</v>
      </c>
      <c r="B31" s="32">
        <f>+'DODD Data'!B36*0.93</f>
        <v>32303.224500000004</v>
      </c>
      <c r="C31" s="20">
        <f t="shared" si="6"/>
        <v>6460.6449000000011</v>
      </c>
      <c r="D31" s="21">
        <v>0.2</v>
      </c>
      <c r="E31" s="23">
        <f t="shared" si="7"/>
        <v>4.9999999999999996E-2</v>
      </c>
      <c r="F31" s="23">
        <f t="shared" si="8"/>
        <v>2.1321961620469083E-2</v>
      </c>
    </row>
    <row r="33" spans="1:6" x14ac:dyDescent="0.25">
      <c r="A33" s="25" t="s">
        <v>35</v>
      </c>
      <c r="B33" s="26">
        <f>SUM(B29:B31)</f>
        <v>646064.49000000011</v>
      </c>
      <c r="C33" s="27">
        <f>SUM(C29:C31)</f>
        <v>303004.24581000005</v>
      </c>
      <c r="D33" s="28">
        <f>+C33/B33</f>
        <v>0.46900000000000003</v>
      </c>
    </row>
    <row r="36" spans="1:6" x14ac:dyDescent="0.25">
      <c r="A36" s="15" t="s">
        <v>51</v>
      </c>
      <c r="B36" s="15" t="s">
        <v>29</v>
      </c>
      <c r="C36" s="15" t="s">
        <v>30</v>
      </c>
      <c r="D36" s="15" t="s">
        <v>32</v>
      </c>
      <c r="E36" s="15" t="s">
        <v>33</v>
      </c>
      <c r="F36" s="15" t="s">
        <v>34</v>
      </c>
    </row>
    <row r="37" spans="1:6" x14ac:dyDescent="0.25">
      <c r="A37" s="11" t="s">
        <v>39</v>
      </c>
      <c r="B37" s="32">
        <f>+'DODD Data'!B26*0.18</f>
        <v>4161214.6199999996</v>
      </c>
      <c r="C37" s="20">
        <f>+B37*D37</f>
        <v>3911541.7427999997</v>
      </c>
      <c r="D37" s="21">
        <v>0.94</v>
      </c>
      <c r="E37" s="23">
        <f>+B37/$B$17</f>
        <v>0.14844453031737001</v>
      </c>
      <c r="F37" s="23">
        <f>+C37/$C$17</f>
        <v>0.3120212181465824</v>
      </c>
    </row>
    <row r="38" spans="1:6" x14ac:dyDescent="0.25">
      <c r="A38" s="11" t="s">
        <v>40</v>
      </c>
      <c r="B38" s="32">
        <f>+'DODD Data'!B27*0.18</f>
        <v>1519204.68</v>
      </c>
      <c r="C38" s="20">
        <f t="shared" ref="C38:C39" si="9">+B38*D38</f>
        <v>714026.19959999993</v>
      </c>
      <c r="D38" s="21">
        <v>0.47</v>
      </c>
      <c r="E38" s="23">
        <f>+B38/$B$17</f>
        <v>5.4195143911743349E-2</v>
      </c>
      <c r="F38" s="23">
        <f>+C38/$C$17</f>
        <v>5.6957419666519023E-2</v>
      </c>
    </row>
    <row r="39" spans="1:6" x14ac:dyDescent="0.25">
      <c r="A39" s="11" t="s">
        <v>41</v>
      </c>
      <c r="B39" s="32">
        <f>+'DODD Data'!B28*0.18</f>
        <v>472972.5</v>
      </c>
      <c r="C39" s="20">
        <f t="shared" si="9"/>
        <v>165540.375</v>
      </c>
      <c r="D39" s="21">
        <v>0.35</v>
      </c>
      <c r="E39" s="23">
        <f>+B39/$B$17</f>
        <v>1.6872520892837844E-2</v>
      </c>
      <c r="F39" s="23">
        <f>+C39/$C$17</f>
        <v>1.3205051321520072E-2</v>
      </c>
    </row>
    <row r="41" spans="1:6" x14ac:dyDescent="0.25">
      <c r="A41" s="25" t="s">
        <v>35</v>
      </c>
      <c r="B41" s="26">
        <f>SUM(B37:B39)</f>
        <v>6153391.7999999998</v>
      </c>
      <c r="C41" s="27">
        <f>SUM(C37:C39)</f>
        <v>4791108.3173999991</v>
      </c>
      <c r="D41" s="28">
        <f>+C41/B41</f>
        <v>0.77861258849143966</v>
      </c>
    </row>
    <row r="42" spans="1:6" x14ac:dyDescent="0.25">
      <c r="A42" s="11"/>
      <c r="B42" s="16"/>
      <c r="C42" s="17"/>
      <c r="D42" s="22"/>
    </row>
    <row r="44" spans="1:6" x14ac:dyDescent="0.25">
      <c r="A44" s="15" t="s">
        <v>52</v>
      </c>
      <c r="B44" s="15" t="s">
        <v>29</v>
      </c>
      <c r="C44" s="15" t="s">
        <v>30</v>
      </c>
      <c r="D44" s="15" t="s">
        <v>32</v>
      </c>
      <c r="E44" s="15" t="s">
        <v>33</v>
      </c>
      <c r="F44" s="15" t="s">
        <v>34</v>
      </c>
    </row>
    <row r="45" spans="1:6" x14ac:dyDescent="0.25">
      <c r="A45" s="11" t="s">
        <v>36</v>
      </c>
      <c r="B45" s="32">
        <f>+'DODD Data'!B30*0.93</f>
        <v>2322119.79</v>
      </c>
      <c r="C45" s="20">
        <f>+B45*D45</f>
        <v>2182792.6025999999</v>
      </c>
      <c r="D45" s="21">
        <v>0.94</v>
      </c>
      <c r="E45" s="23">
        <f>+B45/$B$25</f>
        <v>0.8097765260761739</v>
      </c>
      <c r="F45" s="23">
        <f>+C45/$C$25</f>
        <v>1.5672213351875923</v>
      </c>
    </row>
    <row r="46" spans="1:6" x14ac:dyDescent="0.25">
      <c r="A46" s="11" t="s">
        <v>37</v>
      </c>
      <c r="B46" s="32">
        <f>+'DODD Data'!B31*0.93</f>
        <v>424812.84</v>
      </c>
      <c r="C46" s="20">
        <f t="shared" ref="C46:C47" si="10">+B46*D46</f>
        <v>199662.03479999999</v>
      </c>
      <c r="D46" s="21">
        <v>0.47</v>
      </c>
      <c r="E46" s="23">
        <f t="shared" ref="E46:E47" si="11">+B46/$B$25</f>
        <v>0.14814199822471411</v>
      </c>
      <c r="F46" s="23">
        <f t="shared" ref="F46:F47" si="12">+C46/$C$25</f>
        <v>0.1433551682339422</v>
      </c>
    </row>
    <row r="47" spans="1:6" x14ac:dyDescent="0.25">
      <c r="A47" s="11" t="s">
        <v>38</v>
      </c>
      <c r="B47" s="32">
        <f>+'DODD Data'!B32*0.93</f>
        <v>120673.08</v>
      </c>
      <c r="C47" s="20">
        <f t="shared" si="10"/>
        <v>42235.578000000001</v>
      </c>
      <c r="D47" s="21">
        <v>0.35</v>
      </c>
      <c r="E47" s="23">
        <f t="shared" si="11"/>
        <v>4.2081475699112067E-2</v>
      </c>
      <c r="F47" s="23">
        <f t="shared" si="12"/>
        <v>3.0324685390052872E-2</v>
      </c>
    </row>
    <row r="49" spans="1:6" x14ac:dyDescent="0.25">
      <c r="A49" s="25" t="s">
        <v>35</v>
      </c>
      <c r="B49" s="26">
        <f>SUM(B45:B47)</f>
        <v>2867605.71</v>
      </c>
      <c r="C49" s="27">
        <f>SUM(C45:C47)</f>
        <v>2424690.2154000001</v>
      </c>
      <c r="D49" s="28">
        <f>+C49/B49</f>
        <v>0.84554519017190832</v>
      </c>
    </row>
    <row r="50" spans="1:6" x14ac:dyDescent="0.25">
      <c r="A50" s="11"/>
      <c r="B50" s="16"/>
      <c r="C50" s="17"/>
      <c r="D50" s="22"/>
    </row>
    <row r="52" spans="1:6" x14ac:dyDescent="0.25">
      <c r="A52" s="15" t="s">
        <v>52</v>
      </c>
      <c r="B52" s="15" t="s">
        <v>29</v>
      </c>
      <c r="C52" s="15" t="s">
        <v>30</v>
      </c>
      <c r="D52" s="15" t="s">
        <v>32</v>
      </c>
      <c r="E52" s="15" t="s">
        <v>33</v>
      </c>
      <c r="F52" s="15" t="s">
        <v>34</v>
      </c>
    </row>
    <row r="53" spans="1:6" x14ac:dyDescent="0.25">
      <c r="A53" s="11" t="s">
        <v>42</v>
      </c>
      <c r="B53" s="32">
        <f>+'DODD Data'!B34*0.93</f>
        <v>484548.36750000005</v>
      </c>
      <c r="C53" s="20">
        <f>+B53*D53</f>
        <v>455475.46545000002</v>
      </c>
      <c r="D53" s="21">
        <v>0.94</v>
      </c>
      <c r="E53" s="23">
        <f>+B53/$B$33</f>
        <v>0.75</v>
      </c>
      <c r="F53" s="23">
        <f>+C53/$C$33</f>
        <v>1.5031982942430702</v>
      </c>
    </row>
    <row r="54" spans="1:6" x14ac:dyDescent="0.25">
      <c r="A54" s="11" t="s">
        <v>43</v>
      </c>
      <c r="B54" s="32">
        <f>+'DODD Data'!B35*0.93</f>
        <v>129212.89800000002</v>
      </c>
      <c r="C54" s="20">
        <f t="shared" ref="C54:C55" si="13">+B54*D54</f>
        <v>60730.062060000004</v>
      </c>
      <c r="D54" s="21">
        <v>0.47</v>
      </c>
      <c r="E54" s="23">
        <f t="shared" ref="E54:E55" si="14">+B54/$B$33</f>
        <v>0.19999999999999998</v>
      </c>
      <c r="F54" s="23">
        <f t="shared" ref="F54:F55" si="15">+C54/$C$33</f>
        <v>0.20042643923240935</v>
      </c>
    </row>
    <row r="55" spans="1:6" x14ac:dyDescent="0.25">
      <c r="A55" s="11" t="s">
        <v>44</v>
      </c>
      <c r="B55" s="32">
        <f>+'DODD Data'!B36*0.93</f>
        <v>32303.224500000004</v>
      </c>
      <c r="C55" s="20">
        <f t="shared" si="13"/>
        <v>11306.128575000001</v>
      </c>
      <c r="D55" s="21">
        <v>0.35</v>
      </c>
      <c r="E55" s="23">
        <f t="shared" si="14"/>
        <v>4.9999999999999996E-2</v>
      </c>
      <c r="F55" s="23">
        <f t="shared" si="15"/>
        <v>3.7313432835820892E-2</v>
      </c>
    </row>
    <row r="57" spans="1:6" x14ac:dyDescent="0.25">
      <c r="A57" s="25" t="s">
        <v>35</v>
      </c>
      <c r="B57" s="26">
        <f>SUM(B53:B55)</f>
        <v>646064.49000000011</v>
      </c>
      <c r="C57" s="27">
        <f>SUM(C53:C55)</f>
        <v>527511.65608500002</v>
      </c>
      <c r="D57" s="28">
        <f>+C57/B57</f>
        <v>0.81649999999999989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988F2-AA3C-47D6-B86F-7175B9097A24}">
  <dimension ref="A1:F33"/>
  <sheetViews>
    <sheetView workbookViewId="0"/>
  </sheetViews>
  <sheetFormatPr defaultRowHeight="15" x14ac:dyDescent="0.25"/>
  <cols>
    <col min="1" max="1" width="30.7109375" customWidth="1"/>
    <col min="2" max="6" width="15.7109375" customWidth="1"/>
  </cols>
  <sheetData>
    <row r="1" spans="1:6" ht="18.75" x14ac:dyDescent="0.3">
      <c r="A1" s="14" t="s">
        <v>50</v>
      </c>
    </row>
    <row r="4" spans="1:6" x14ac:dyDescent="0.25">
      <c r="A4" s="15" t="s">
        <v>47</v>
      </c>
      <c r="B4" s="15" t="s">
        <v>29</v>
      </c>
      <c r="C4" s="15" t="s">
        <v>30</v>
      </c>
      <c r="D4" s="15" t="s">
        <v>31</v>
      </c>
      <c r="E4" s="15" t="s">
        <v>48</v>
      </c>
      <c r="F4" s="15" t="s">
        <v>49</v>
      </c>
    </row>
    <row r="5" spans="1:6" x14ac:dyDescent="0.25">
      <c r="A5" s="44" t="s">
        <v>72</v>
      </c>
      <c r="B5" s="16">
        <f>+B13+B21+B29</f>
        <v>26135781.75</v>
      </c>
      <c r="C5" s="17">
        <f>+C13+C21+C29</f>
        <v>14113322.145</v>
      </c>
      <c r="D5" s="22">
        <f>+C5/B5</f>
        <v>0.54</v>
      </c>
      <c r="E5" s="17">
        <f>+C5-'FY 2017 Mileage Analysis'!C5</f>
        <v>2352220.3574999999</v>
      </c>
      <c r="F5" s="29">
        <f>+E5/'FY 2017 Mileage Analysis'!C5</f>
        <v>0.2</v>
      </c>
    </row>
    <row r="6" spans="1:6" x14ac:dyDescent="0.25">
      <c r="A6" s="44" t="s">
        <v>73</v>
      </c>
      <c r="B6" s="16">
        <f t="shared" ref="B6:C7" si="0">+B14+B22+B30</f>
        <v>9035752.5999999996</v>
      </c>
      <c r="C6" s="17">
        <f t="shared" si="0"/>
        <v>2439653.202</v>
      </c>
      <c r="D6" s="22">
        <f t="shared" ref="D6:D7" si="1">+C6/B6</f>
        <v>0.27</v>
      </c>
      <c r="E6" s="17">
        <f>+C6-'FY 2017 Mileage Analysis'!C6</f>
        <v>361430.10400000005</v>
      </c>
      <c r="F6" s="29">
        <f>+E6/'FY 2017 Mileage Analysis'!C6</f>
        <v>0.17391304347826089</v>
      </c>
    </row>
    <row r="7" spans="1:6" x14ac:dyDescent="0.25">
      <c r="A7" s="44" t="s">
        <v>74</v>
      </c>
      <c r="B7" s="16">
        <f t="shared" si="0"/>
        <v>2792115.65</v>
      </c>
      <c r="C7" s="17">
        <f t="shared" si="0"/>
        <v>558423.13</v>
      </c>
      <c r="D7" s="22">
        <f t="shared" si="1"/>
        <v>0.2</v>
      </c>
      <c r="E7" s="17">
        <f>+C7-'FY 2017 Mileage Analysis'!C7</f>
        <v>83763.469499999948</v>
      </c>
      <c r="F7" s="29">
        <f>+E7/'FY 2017 Mileage Analysis'!C7</f>
        <v>0.17647058823529399</v>
      </c>
    </row>
    <row r="8" spans="1:6" x14ac:dyDescent="0.25">
      <c r="A8" s="11"/>
      <c r="B8" s="16"/>
      <c r="C8" s="17"/>
      <c r="D8" s="18"/>
      <c r="F8" s="11"/>
    </row>
    <row r="9" spans="1:6" x14ac:dyDescent="0.25">
      <c r="A9" s="25" t="s">
        <v>35</v>
      </c>
      <c r="B9" s="26">
        <f>SUM(B5:B7)</f>
        <v>37963650</v>
      </c>
      <c r="C9" s="27">
        <f>SUM(C5:C7)</f>
        <v>17111398.476999998</v>
      </c>
      <c r="D9" s="30">
        <f>+C9/B9</f>
        <v>0.45073111982119735</v>
      </c>
      <c r="E9" s="27">
        <f>SUM(E5:E7)</f>
        <v>2797413.9310000003</v>
      </c>
      <c r="F9" s="31">
        <f>+E9/'FY 2017 Mileage Analysis'!C9</f>
        <v>0.19543223076775848</v>
      </c>
    </row>
    <row r="10" spans="1:6" x14ac:dyDescent="0.25">
      <c r="A10" s="11"/>
      <c r="B10" s="16"/>
      <c r="C10" s="17"/>
      <c r="D10" s="18"/>
    </row>
    <row r="11" spans="1:6" x14ac:dyDescent="0.25">
      <c r="A11" s="11"/>
      <c r="B11" s="16"/>
      <c r="C11" s="17"/>
      <c r="D11" s="18"/>
    </row>
    <row r="12" spans="1:6" x14ac:dyDescent="0.25">
      <c r="A12" s="15" t="s">
        <v>47</v>
      </c>
      <c r="B12" s="15" t="s">
        <v>29</v>
      </c>
      <c r="C12" s="15" t="s">
        <v>30</v>
      </c>
      <c r="D12" s="15" t="s">
        <v>32</v>
      </c>
      <c r="E12" s="15" t="s">
        <v>33</v>
      </c>
      <c r="F12" s="15" t="s">
        <v>34</v>
      </c>
    </row>
    <row r="13" spans="1:6" x14ac:dyDescent="0.25">
      <c r="A13" s="11" t="s">
        <v>39</v>
      </c>
      <c r="B13" s="9">
        <f>+'DODD Data'!B26</f>
        <v>23117859</v>
      </c>
      <c r="C13" s="20">
        <f>+B13*D13</f>
        <v>12483643.860000001</v>
      </c>
      <c r="D13" s="21">
        <v>0.54</v>
      </c>
      <c r="E13" s="23">
        <f>+B13/$B$17</f>
        <v>0.67624730477913009</v>
      </c>
      <c r="F13" s="23">
        <f>+C13/$C$17</f>
        <v>0.81656616663892856</v>
      </c>
    </row>
    <row r="14" spans="1:6" x14ac:dyDescent="0.25">
      <c r="A14" s="11" t="s">
        <v>40</v>
      </c>
      <c r="B14" s="9">
        <f>+'DODD Data'!B27</f>
        <v>8440026</v>
      </c>
      <c r="C14" s="20">
        <f t="shared" ref="C14:C15" si="2">+B14*D14</f>
        <v>2278807.02</v>
      </c>
      <c r="D14" s="21">
        <v>0.27</v>
      </c>
      <c r="E14" s="23">
        <f>+B14/$B$17</f>
        <v>0.24688898893127526</v>
      </c>
      <c r="F14" s="23">
        <f>+C14/$C$17</f>
        <v>0.14905877912727319</v>
      </c>
    </row>
    <row r="15" spans="1:6" x14ac:dyDescent="0.25">
      <c r="A15" s="11" t="s">
        <v>41</v>
      </c>
      <c r="B15" s="9">
        <f>+'DODD Data'!B28</f>
        <v>2627625</v>
      </c>
      <c r="C15" s="20">
        <f t="shared" si="2"/>
        <v>525525</v>
      </c>
      <c r="D15" s="21">
        <v>0.2</v>
      </c>
      <c r="E15" s="23">
        <f>+B15/$B$17</f>
        <v>7.686370628959463E-2</v>
      </c>
      <c r="F15" s="23">
        <f>+C15/$C$17</f>
        <v>3.4375054233798281E-2</v>
      </c>
    </row>
    <row r="17" spans="1:6" x14ac:dyDescent="0.25">
      <c r="A17" s="25" t="s">
        <v>35</v>
      </c>
      <c r="B17" s="26">
        <f>SUM(B13:B15)</f>
        <v>34185510</v>
      </c>
      <c r="C17" s="27">
        <f>SUM(C13:C15)</f>
        <v>15287975.880000001</v>
      </c>
      <c r="D17" s="28">
        <f>+C17/B17</f>
        <v>0.44720631285009355</v>
      </c>
    </row>
    <row r="18" spans="1:6" x14ac:dyDescent="0.25">
      <c r="A18" s="11"/>
      <c r="B18" s="16"/>
      <c r="C18" s="17"/>
      <c r="D18" s="22"/>
    </row>
    <row r="20" spans="1:6" x14ac:dyDescent="0.25">
      <c r="A20" s="15" t="s">
        <v>47</v>
      </c>
      <c r="B20" s="15" t="s">
        <v>29</v>
      </c>
      <c r="C20" s="15" t="s">
        <v>30</v>
      </c>
      <c r="D20" s="15" t="s">
        <v>32</v>
      </c>
      <c r="E20" s="15" t="s">
        <v>33</v>
      </c>
      <c r="F20" s="15" t="s">
        <v>34</v>
      </c>
    </row>
    <row r="21" spans="1:6" x14ac:dyDescent="0.25">
      <c r="A21" s="11" t="s">
        <v>36</v>
      </c>
      <c r="B21" s="9">
        <f>+'DODD Data'!B30</f>
        <v>2496903</v>
      </c>
      <c r="C21" s="20">
        <f>+B21*D21</f>
        <v>1348327.62</v>
      </c>
      <c r="D21" s="21">
        <v>0.54</v>
      </c>
      <c r="E21" s="23">
        <f>+B21/$B$25</f>
        <v>0.80977652607617379</v>
      </c>
      <c r="F21" s="23">
        <f>+C21/$C$25</f>
        <v>0.90031863936308509</v>
      </c>
    </row>
    <row r="22" spans="1:6" x14ac:dyDescent="0.25">
      <c r="A22" s="11" t="s">
        <v>37</v>
      </c>
      <c r="B22" s="9">
        <f>+'DODD Data'!B31</f>
        <v>456788</v>
      </c>
      <c r="C22" s="20">
        <f t="shared" ref="C22:C23" si="3">+B22*D22</f>
        <v>123332.76000000001</v>
      </c>
      <c r="D22" s="21">
        <v>0.27</v>
      </c>
      <c r="E22" s="23">
        <f t="shared" ref="E22:E23" si="4">+B22/$B$25</f>
        <v>0.14814199822471411</v>
      </c>
      <c r="F22" s="23">
        <f t="shared" ref="F22:F23" si="5">+C22/$C$25</f>
        <v>8.235296898545616E-2</v>
      </c>
    </row>
    <row r="23" spans="1:6" x14ac:dyDescent="0.25">
      <c r="A23" s="11" t="s">
        <v>38</v>
      </c>
      <c r="B23" s="9">
        <f>+'DODD Data'!B32</f>
        <v>129756</v>
      </c>
      <c r="C23" s="20">
        <f t="shared" si="3"/>
        <v>25951.200000000001</v>
      </c>
      <c r="D23" s="21">
        <v>0.2</v>
      </c>
      <c r="E23" s="23">
        <f t="shared" si="4"/>
        <v>4.2081475699112067E-2</v>
      </c>
      <c r="F23" s="23">
        <f t="shared" si="5"/>
        <v>1.7328391651458785E-2</v>
      </c>
    </row>
    <row r="25" spans="1:6" x14ac:dyDescent="0.25">
      <c r="A25" s="25" t="s">
        <v>35</v>
      </c>
      <c r="B25" s="26">
        <f>SUM(B21:B23)</f>
        <v>3083447</v>
      </c>
      <c r="C25" s="27">
        <f>SUM(C21:C23)</f>
        <v>1497611.58</v>
      </c>
      <c r="D25" s="28">
        <f>+C25/B25</f>
        <v>0.48569395874162913</v>
      </c>
    </row>
    <row r="26" spans="1:6" x14ac:dyDescent="0.25">
      <c r="A26" s="11"/>
      <c r="B26" s="16"/>
      <c r="C26" s="17"/>
      <c r="D26" s="22"/>
    </row>
    <row r="28" spans="1:6" x14ac:dyDescent="0.25">
      <c r="A28" s="15" t="s">
        <v>47</v>
      </c>
      <c r="B28" s="15" t="s">
        <v>29</v>
      </c>
      <c r="C28" s="15" t="s">
        <v>30</v>
      </c>
      <c r="D28" s="15" t="s">
        <v>32</v>
      </c>
      <c r="E28" s="15" t="s">
        <v>33</v>
      </c>
      <c r="F28" s="15" t="s">
        <v>34</v>
      </c>
    </row>
    <row r="29" spans="1:6" x14ac:dyDescent="0.25">
      <c r="A29" s="11" t="s">
        <v>42</v>
      </c>
      <c r="B29" s="9">
        <f>+'DODD Data'!B34</f>
        <v>521019.75</v>
      </c>
      <c r="C29" s="20">
        <f>+B29*D29</f>
        <v>281350.66500000004</v>
      </c>
      <c r="D29" s="21">
        <v>0.54</v>
      </c>
      <c r="E29" s="23">
        <f>+B29/$B$33</f>
        <v>0.75</v>
      </c>
      <c r="F29" s="23">
        <f>+C29/$C$33</f>
        <v>0.86353944562899787</v>
      </c>
    </row>
    <row r="30" spans="1:6" x14ac:dyDescent="0.25">
      <c r="A30" s="11" t="s">
        <v>43</v>
      </c>
      <c r="B30" s="9">
        <f>+'DODD Data'!B35</f>
        <v>138938.6</v>
      </c>
      <c r="C30" s="20">
        <f t="shared" ref="C30:C31" si="6">+B30*D30</f>
        <v>37513.422000000006</v>
      </c>
      <c r="D30" s="21">
        <v>0.27</v>
      </c>
      <c r="E30" s="23">
        <f t="shared" ref="E30:E31" si="7">+B30/$B$33</f>
        <v>0.2</v>
      </c>
      <c r="F30" s="23">
        <f t="shared" ref="F30:F31" si="8">+C30/$C$33</f>
        <v>0.11513859275053305</v>
      </c>
    </row>
    <row r="31" spans="1:6" x14ac:dyDescent="0.25">
      <c r="A31" s="11" t="s">
        <v>44</v>
      </c>
      <c r="B31" s="9">
        <f>+'DODD Data'!B36</f>
        <v>34734.65</v>
      </c>
      <c r="C31" s="20">
        <f t="shared" si="6"/>
        <v>6946.93</v>
      </c>
      <c r="D31" s="21">
        <v>0.2</v>
      </c>
      <c r="E31" s="23">
        <f t="shared" si="7"/>
        <v>0.05</v>
      </c>
      <c r="F31" s="23">
        <f t="shared" si="8"/>
        <v>2.1321961620469079E-2</v>
      </c>
    </row>
    <row r="33" spans="1:4" x14ac:dyDescent="0.25">
      <c r="A33" s="25" t="s">
        <v>35</v>
      </c>
      <c r="B33" s="26">
        <f>SUM(B29:B31)</f>
        <v>694693</v>
      </c>
      <c r="C33" s="27">
        <f>SUM(C29:C31)</f>
        <v>325811.01700000005</v>
      </c>
      <c r="D33" s="28">
        <f>+C33/B33</f>
        <v>0.46900000000000008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E051-330C-4A25-8CBB-04D09579169D}">
  <dimension ref="A1:F33"/>
  <sheetViews>
    <sheetView topLeftCell="A4" workbookViewId="0">
      <selection activeCell="G28" sqref="G28"/>
    </sheetView>
  </sheetViews>
  <sheetFormatPr defaultRowHeight="15" x14ac:dyDescent="0.25"/>
  <cols>
    <col min="1" max="1" width="20.7109375" customWidth="1"/>
    <col min="2" max="9" width="15.7109375" customWidth="1"/>
  </cols>
  <sheetData>
    <row r="1" spans="1:6" ht="18.75" x14ac:dyDescent="0.3">
      <c r="A1" s="14" t="s">
        <v>26</v>
      </c>
    </row>
    <row r="4" spans="1:6" x14ac:dyDescent="0.25">
      <c r="A4" s="15" t="s">
        <v>45</v>
      </c>
      <c r="B4" s="15" t="s">
        <v>29</v>
      </c>
      <c r="C4" s="15" t="s">
        <v>30</v>
      </c>
      <c r="D4" s="15" t="s">
        <v>31</v>
      </c>
      <c r="E4" s="15"/>
    </row>
    <row r="5" spans="1:6" x14ac:dyDescent="0.25">
      <c r="A5" s="44" t="s">
        <v>72</v>
      </c>
      <c r="B5" s="16">
        <f>+B13+B21+B29</f>
        <v>26135781.75</v>
      </c>
      <c r="C5" s="17">
        <f>+C13+C21+C29</f>
        <v>11761101.7875</v>
      </c>
      <c r="D5" s="22">
        <f>+C5/B5</f>
        <v>0.45</v>
      </c>
    </row>
    <row r="6" spans="1:6" x14ac:dyDescent="0.25">
      <c r="A6" s="44" t="s">
        <v>73</v>
      </c>
      <c r="B6" s="16">
        <f t="shared" ref="B6:C7" si="0">+B14+B22+B30</f>
        <v>9035752.5999999996</v>
      </c>
      <c r="C6" s="17">
        <f t="shared" si="0"/>
        <v>2078223.098</v>
      </c>
      <c r="D6" s="22">
        <f t="shared" ref="D6" si="1">+C6/B6</f>
        <v>0.23</v>
      </c>
    </row>
    <row r="7" spans="1:6" x14ac:dyDescent="0.25">
      <c r="A7" s="44" t="s">
        <v>74</v>
      </c>
      <c r="B7" s="16">
        <f t="shared" si="0"/>
        <v>2792115.65</v>
      </c>
      <c r="C7" s="17">
        <f t="shared" si="0"/>
        <v>474659.66050000006</v>
      </c>
      <c r="D7" s="22">
        <f t="shared" ref="D7" si="2">+C7/B7</f>
        <v>0.17</v>
      </c>
      <c r="E7" s="24"/>
    </row>
    <row r="8" spans="1:6" x14ac:dyDescent="0.25">
      <c r="A8" s="11"/>
      <c r="B8" s="16"/>
      <c r="C8" s="17"/>
      <c r="D8" s="18"/>
    </row>
    <row r="9" spans="1:6" x14ac:dyDescent="0.25">
      <c r="A9" s="25" t="s">
        <v>35</v>
      </c>
      <c r="B9" s="26">
        <f>SUM(B5:B7)</f>
        <v>37963650</v>
      </c>
      <c r="C9" s="27">
        <f>SUM(C5:C7)</f>
        <v>14313984.545999998</v>
      </c>
      <c r="D9" s="28">
        <f>+C9/B9</f>
        <v>0.3770444766506908</v>
      </c>
    </row>
    <row r="10" spans="1:6" x14ac:dyDescent="0.25">
      <c r="A10" s="11"/>
      <c r="B10" s="16"/>
      <c r="C10" s="17"/>
      <c r="D10" s="18"/>
    </row>
    <row r="11" spans="1:6" x14ac:dyDescent="0.25">
      <c r="A11" s="11"/>
      <c r="B11" s="16"/>
      <c r="C11" s="17"/>
      <c r="D11" s="18"/>
    </row>
    <row r="12" spans="1:6" x14ac:dyDescent="0.25">
      <c r="A12" s="15" t="s">
        <v>45</v>
      </c>
      <c r="B12" s="15" t="s">
        <v>29</v>
      </c>
      <c r="C12" s="15" t="s">
        <v>30</v>
      </c>
      <c r="D12" s="15" t="s">
        <v>32</v>
      </c>
      <c r="E12" s="15" t="s">
        <v>33</v>
      </c>
      <c r="F12" s="15" t="s">
        <v>34</v>
      </c>
    </row>
    <row r="13" spans="1:6" x14ac:dyDescent="0.25">
      <c r="A13" s="11" t="s">
        <v>39</v>
      </c>
      <c r="B13" s="9">
        <f>+'DODD Data'!B26</f>
        <v>23117859</v>
      </c>
      <c r="C13" s="20">
        <f>+B13*D13</f>
        <v>10403036.550000001</v>
      </c>
      <c r="D13" s="21">
        <v>0.45</v>
      </c>
      <c r="E13" s="23">
        <f>+B13/$B$17</f>
        <v>0.67624730477913009</v>
      </c>
      <c r="F13" s="23">
        <f>+C13/$C$17</f>
        <v>0.81331298108206562</v>
      </c>
    </row>
    <row r="14" spans="1:6" x14ac:dyDescent="0.25">
      <c r="A14" s="11" t="s">
        <v>40</v>
      </c>
      <c r="B14" s="9">
        <f>+'DODD Data'!B27</f>
        <v>8440026</v>
      </c>
      <c r="C14" s="20">
        <f t="shared" ref="C14:C15" si="3">+B14*D14</f>
        <v>1941205.98</v>
      </c>
      <c r="D14" s="21">
        <v>0.23</v>
      </c>
      <c r="E14" s="23">
        <f>+B14/$B$17</f>
        <v>0.24688898893127526</v>
      </c>
      <c r="F14" s="23">
        <f>+C14/$C$17</f>
        <v>0.15176415221651149</v>
      </c>
    </row>
    <row r="15" spans="1:6" x14ac:dyDescent="0.25">
      <c r="A15" s="11" t="s">
        <v>41</v>
      </c>
      <c r="B15" s="9">
        <f>+'DODD Data'!B28</f>
        <v>2627625</v>
      </c>
      <c r="C15" s="20">
        <f t="shared" si="3"/>
        <v>446696.25000000006</v>
      </c>
      <c r="D15" s="21">
        <v>0.17</v>
      </c>
      <c r="E15" s="23">
        <f>+B15/$B$17</f>
        <v>7.686370628959463E-2</v>
      </c>
      <c r="F15" s="23">
        <f>+C15/$C$17</f>
        <v>3.4922866701422833E-2</v>
      </c>
    </row>
    <row r="17" spans="1:6" x14ac:dyDescent="0.25">
      <c r="A17" s="25" t="s">
        <v>35</v>
      </c>
      <c r="B17" s="26">
        <f>SUM(B13:B15)</f>
        <v>34185510</v>
      </c>
      <c r="C17" s="27">
        <f>SUM(C13:C15)</f>
        <v>12790938.780000001</v>
      </c>
      <c r="D17" s="28">
        <f>+C17/B17</f>
        <v>0.37416258467403296</v>
      </c>
    </row>
    <row r="18" spans="1:6" x14ac:dyDescent="0.25">
      <c r="A18" s="11"/>
      <c r="B18" s="16"/>
      <c r="C18" s="17"/>
      <c r="D18" s="22"/>
    </row>
    <row r="20" spans="1:6" x14ac:dyDescent="0.25">
      <c r="A20" s="15" t="s">
        <v>45</v>
      </c>
      <c r="B20" s="15" t="s">
        <v>29</v>
      </c>
      <c r="C20" s="15" t="s">
        <v>30</v>
      </c>
      <c r="D20" s="15" t="s">
        <v>32</v>
      </c>
      <c r="E20" s="15" t="s">
        <v>33</v>
      </c>
      <c r="F20" s="15" t="s">
        <v>34</v>
      </c>
    </row>
    <row r="21" spans="1:6" x14ac:dyDescent="0.25">
      <c r="A21" s="11" t="s">
        <v>36</v>
      </c>
      <c r="B21" s="9">
        <f>+'DODD Data'!B30</f>
        <v>2496903</v>
      </c>
      <c r="C21" s="20">
        <f>+B21*D21</f>
        <v>1123606.3500000001</v>
      </c>
      <c r="D21" s="21">
        <v>0.45</v>
      </c>
      <c r="E21" s="23">
        <f>+B21/$B$25</f>
        <v>0.80977652607617379</v>
      </c>
      <c r="F21" s="23">
        <f>+C21/$C$25</f>
        <v>0.89836323157913445</v>
      </c>
    </row>
    <row r="22" spans="1:6" x14ac:dyDescent="0.25">
      <c r="A22" s="11" t="s">
        <v>37</v>
      </c>
      <c r="B22" s="9">
        <f>+'DODD Data'!B31</f>
        <v>456788</v>
      </c>
      <c r="C22" s="20">
        <f t="shared" ref="C22:C23" si="4">+B22*D22</f>
        <v>105061.24</v>
      </c>
      <c r="D22" s="21">
        <v>0.23</v>
      </c>
      <c r="E22" s="23">
        <f t="shared" ref="E22:E23" si="5">+B22/$B$25</f>
        <v>0.14814199822471411</v>
      </c>
      <c r="F22" s="23">
        <f t="shared" ref="F22:F23" si="6">+C22/$C$25</f>
        <v>8.4000197293394627E-2</v>
      </c>
    </row>
    <row r="23" spans="1:6" x14ac:dyDescent="0.25">
      <c r="A23" s="11" t="s">
        <v>38</v>
      </c>
      <c r="B23" s="9">
        <f>+'DODD Data'!B32</f>
        <v>129756</v>
      </c>
      <c r="C23" s="20">
        <f t="shared" si="4"/>
        <v>22058.52</v>
      </c>
      <c r="D23" s="21">
        <v>0.17</v>
      </c>
      <c r="E23" s="23">
        <f t="shared" si="5"/>
        <v>4.2081475699112067E-2</v>
      </c>
      <c r="F23" s="23">
        <f t="shared" si="6"/>
        <v>1.7636571127470906E-2</v>
      </c>
    </row>
    <row r="25" spans="1:6" x14ac:dyDescent="0.25">
      <c r="A25" s="25" t="s">
        <v>35</v>
      </c>
      <c r="B25" s="26">
        <f>SUM(B21:B23)</f>
        <v>3083447</v>
      </c>
      <c r="C25" s="27">
        <f>SUM(C21:C23)</f>
        <v>1250726.1100000001</v>
      </c>
      <c r="D25" s="28">
        <f>+C25/B25</f>
        <v>0.40562594719481154</v>
      </c>
    </row>
    <row r="26" spans="1:6" x14ac:dyDescent="0.25">
      <c r="A26" s="11"/>
      <c r="B26" s="16"/>
      <c r="C26" s="17"/>
      <c r="D26" s="22"/>
    </row>
    <row r="28" spans="1:6" x14ac:dyDescent="0.25">
      <c r="A28" s="15" t="s">
        <v>46</v>
      </c>
      <c r="B28" s="15" t="s">
        <v>29</v>
      </c>
      <c r="C28" s="15" t="s">
        <v>30</v>
      </c>
      <c r="D28" s="15" t="s">
        <v>32</v>
      </c>
      <c r="E28" s="15" t="s">
        <v>33</v>
      </c>
      <c r="F28" s="15" t="s">
        <v>34</v>
      </c>
    </row>
    <row r="29" spans="1:6" x14ac:dyDescent="0.25">
      <c r="A29" s="11" t="s">
        <v>42</v>
      </c>
      <c r="B29" s="9">
        <f>+'DODD Data'!B34</f>
        <v>521019.75</v>
      </c>
      <c r="C29" s="20">
        <f>+B29*D29</f>
        <v>234458.88750000001</v>
      </c>
      <c r="D29" s="21">
        <f>0.45</f>
        <v>0.45</v>
      </c>
      <c r="E29" s="23">
        <f>+B29/$B$33</f>
        <v>0.75</v>
      </c>
      <c r="F29" s="23">
        <f>+C29/$C$33</f>
        <v>0.86096938775510201</v>
      </c>
    </row>
    <row r="30" spans="1:6" x14ac:dyDescent="0.25">
      <c r="A30" s="11" t="s">
        <v>43</v>
      </c>
      <c r="B30" s="9">
        <f>+'DODD Data'!B35</f>
        <v>138938.6</v>
      </c>
      <c r="C30" s="20">
        <f t="shared" ref="C30:C31" si="7">+B30*D30</f>
        <v>31955.878000000004</v>
      </c>
      <c r="D30" s="21">
        <f>0.23</f>
        <v>0.23</v>
      </c>
      <c r="E30" s="23">
        <f t="shared" ref="E30:E31" si="8">+B30/$B$33</f>
        <v>0.2</v>
      </c>
      <c r="F30" s="23">
        <f t="shared" ref="F30:F31" si="9">+C30/$C$33</f>
        <v>0.11734693877551021</v>
      </c>
    </row>
    <row r="31" spans="1:6" x14ac:dyDescent="0.25">
      <c r="A31" s="11" t="s">
        <v>44</v>
      </c>
      <c r="B31" s="9">
        <f>+'DODD Data'!B36</f>
        <v>34734.65</v>
      </c>
      <c r="C31" s="20">
        <f t="shared" si="7"/>
        <v>5904.8905000000004</v>
      </c>
      <c r="D31" s="21">
        <f>0.17</f>
        <v>0.17</v>
      </c>
      <c r="E31" s="23">
        <f t="shared" si="8"/>
        <v>0.05</v>
      </c>
      <c r="F31" s="23">
        <f t="shared" si="9"/>
        <v>2.1683673469387755E-2</v>
      </c>
    </row>
    <row r="33" spans="1:4" x14ac:dyDescent="0.25">
      <c r="A33" s="25" t="s">
        <v>35</v>
      </c>
      <c r="B33" s="26">
        <f>SUM(B29:B31)</f>
        <v>694693</v>
      </c>
      <c r="C33" s="27">
        <f>SUM(C29:C31)</f>
        <v>272319.65600000002</v>
      </c>
      <c r="D33" s="28">
        <f>+C33/B33</f>
        <v>0.39200000000000002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64D4B-B490-4A74-B0D0-CA40322DF2EF}">
  <dimension ref="A1:L90"/>
  <sheetViews>
    <sheetView tabSelected="1" workbookViewId="0">
      <selection activeCell="E76" sqref="E76"/>
    </sheetView>
  </sheetViews>
  <sheetFormatPr defaultRowHeight="15" x14ac:dyDescent="0.25"/>
  <cols>
    <col min="1" max="1" width="35.7109375" customWidth="1"/>
    <col min="2" max="6" width="20.7109375" customWidth="1"/>
    <col min="7" max="7" width="15.7109375" customWidth="1"/>
    <col min="12" max="12" width="11.140625" bestFit="1" customWidth="1"/>
  </cols>
  <sheetData>
    <row r="1" spans="1:12" ht="18.75" x14ac:dyDescent="0.3">
      <c r="A1" s="14" t="s">
        <v>66</v>
      </c>
    </row>
    <row r="3" spans="1:12" x14ac:dyDescent="0.25">
      <c r="A3" s="43" t="s">
        <v>70</v>
      </c>
    </row>
    <row r="4" spans="1:12" x14ac:dyDescent="0.25">
      <c r="J4" s="15" t="s">
        <v>112</v>
      </c>
    </row>
    <row r="5" spans="1:12" x14ac:dyDescent="0.25">
      <c r="A5" s="15" t="s">
        <v>53</v>
      </c>
      <c r="B5" s="15" t="s">
        <v>29</v>
      </c>
      <c r="C5" s="15" t="s">
        <v>30</v>
      </c>
      <c r="D5" s="15" t="s">
        <v>31</v>
      </c>
      <c r="E5" s="15" t="s">
        <v>48</v>
      </c>
      <c r="F5" s="15" t="s">
        <v>49</v>
      </c>
      <c r="G5" s="15" t="s">
        <v>81</v>
      </c>
      <c r="J5" s="15" t="s">
        <v>113</v>
      </c>
    </row>
    <row r="6" spans="1:12" x14ac:dyDescent="0.25">
      <c r="A6" s="44" t="s">
        <v>72</v>
      </c>
      <c r="B6" s="16">
        <f>+'Proj Mileage w-Mod. Vehicle'!B5</f>
        <v>28731195.314999998</v>
      </c>
      <c r="C6" s="17">
        <f>+'Proj Mileage w-Mod. Vehicle'!C5</f>
        <v>18301998.581099998</v>
      </c>
      <c r="D6" s="22">
        <f>+C6/B6</f>
        <v>0.63700790657828565</v>
      </c>
      <c r="E6" s="17">
        <f>+C6-'FY 2017 Mileage Analysis'!C5</f>
        <v>6540896.7935999986</v>
      </c>
      <c r="F6" s="29">
        <f>+E6/'FY 2017 Mileage Analysis'!C5</f>
        <v>0.55614660188995479</v>
      </c>
      <c r="J6" s="16">
        <f>+B6/35</f>
        <v>820891.29471428564</v>
      </c>
      <c r="K6" s="11"/>
      <c r="L6" s="11"/>
    </row>
    <row r="7" spans="1:12" x14ac:dyDescent="0.25">
      <c r="A7" s="44" t="s">
        <v>73</v>
      </c>
      <c r="B7" s="16">
        <f>+'Proj Mileage w-Mod. Vehicle'!B6</f>
        <v>9548077.4759999998</v>
      </c>
      <c r="C7" s="17">
        <f>+'Proj Mileage w-Mod. Vehicle'!C6</f>
        <v>2992627.0021199998</v>
      </c>
      <c r="D7" s="22">
        <f t="shared" ref="D7:D8" si="0">+C7/B7</f>
        <v>0.31342718046038609</v>
      </c>
      <c r="E7" s="17">
        <f>+C7-'FY 2017 Mileage Analysis'!C6</f>
        <v>914403.90411999985</v>
      </c>
      <c r="F7" s="29">
        <f>+E7/'FY 2017 Mileage Analysis'!C6</f>
        <v>0.43999313885019664</v>
      </c>
      <c r="J7" s="16">
        <f>+B7/35/2.5</f>
        <v>109120.88544000001</v>
      </c>
      <c r="K7" s="11"/>
      <c r="L7" s="11"/>
    </row>
    <row r="8" spans="1:12" x14ac:dyDescent="0.25">
      <c r="A8" s="44" t="s">
        <v>74</v>
      </c>
      <c r="B8" s="16">
        <f>+'Proj Mileage w-Mod. Vehicle'!B7</f>
        <v>2933577.6090000002</v>
      </c>
      <c r="C8" s="17">
        <f>+'Proj Mileage w-Mod. Vehicle'!C7</f>
        <v>680607.84247499995</v>
      </c>
      <c r="D8" s="22">
        <f t="shared" si="0"/>
        <v>0.2320060803528583</v>
      </c>
      <c r="E8" s="17">
        <f>+C8-'FY 2017 Mileage Analysis'!C7</f>
        <v>205948.1819749999</v>
      </c>
      <c r="F8" s="29">
        <f>+E8/'FY 2017 Mileage Analysis'!C7</f>
        <v>0.43388600109404046</v>
      </c>
      <c r="J8" s="16">
        <f>+B8/35/4</f>
        <v>20954.12577857143</v>
      </c>
      <c r="K8" s="11"/>
      <c r="L8" s="11"/>
    </row>
    <row r="9" spans="1:12" x14ac:dyDescent="0.25">
      <c r="A9" s="11"/>
      <c r="B9" s="16"/>
      <c r="C9" s="17"/>
      <c r="D9" s="18"/>
      <c r="F9" s="11"/>
      <c r="J9" s="11"/>
      <c r="K9" s="11"/>
      <c r="L9" s="11"/>
    </row>
    <row r="10" spans="1:12" x14ac:dyDescent="0.25">
      <c r="A10" s="25" t="s">
        <v>35</v>
      </c>
      <c r="B10" s="26">
        <f>SUM(B6:B8)</f>
        <v>41212850.399999991</v>
      </c>
      <c r="C10" s="27">
        <f>SUM(C6:C8)</f>
        <v>21975233.425694998</v>
      </c>
      <c r="D10" s="30">
        <f>+C10/B10</f>
        <v>0.53321314134814135</v>
      </c>
      <c r="E10" s="27">
        <f>SUM(E6:E8)</f>
        <v>7661248.8796949983</v>
      </c>
      <c r="F10" s="31">
        <f>+E10/'FY 2017 Mileage Analysis'!C9</f>
        <v>0.53522824864554663</v>
      </c>
      <c r="G10" s="47">
        <f>+E10*0.3722</f>
        <v>2851516.833022478</v>
      </c>
      <c r="J10" s="16">
        <f>SUM(J6:J8)</f>
        <v>950966.3059328571</v>
      </c>
      <c r="K10" s="55">
        <v>20</v>
      </c>
      <c r="L10" s="54">
        <f>+J10*K10</f>
        <v>19019326.118657142</v>
      </c>
    </row>
    <row r="13" spans="1:12" x14ac:dyDescent="0.25">
      <c r="A13" s="43" t="s">
        <v>75</v>
      </c>
      <c r="G13" s="48"/>
    </row>
    <row r="15" spans="1:12" x14ac:dyDescent="0.25">
      <c r="A15" s="15" t="s">
        <v>53</v>
      </c>
      <c r="B15" s="15" t="s">
        <v>71</v>
      </c>
      <c r="C15" s="15" t="s">
        <v>30</v>
      </c>
      <c r="D15" s="15" t="s">
        <v>31</v>
      </c>
      <c r="E15" s="15" t="s">
        <v>48</v>
      </c>
      <c r="F15" s="15"/>
      <c r="G15" s="15" t="s">
        <v>81</v>
      </c>
    </row>
    <row r="16" spans="1:12" x14ac:dyDescent="0.25">
      <c r="A16" s="11" t="s">
        <v>27</v>
      </c>
      <c r="B16" s="16">
        <f>+B26</f>
        <v>11442.359441872282</v>
      </c>
      <c r="C16" s="17">
        <f>SUM(B16*48)*25*D16</f>
        <v>5080407.5921912938</v>
      </c>
      <c r="D16" s="19">
        <v>0.37</v>
      </c>
      <c r="E16" s="17">
        <f>+C16</f>
        <v>5080407.5921912938</v>
      </c>
      <c r="F16" s="29"/>
    </row>
    <row r="17" spans="1:7" x14ac:dyDescent="0.25">
      <c r="A17" s="11" t="s">
        <v>28</v>
      </c>
      <c r="B17" s="16">
        <f>+B27</f>
        <v>6748.9036891403584</v>
      </c>
      <c r="C17" s="17">
        <f>SUM(B17*48)*25*D17</f>
        <v>2996513.2379783192</v>
      </c>
      <c r="D17" s="19">
        <v>0.37</v>
      </c>
      <c r="E17" s="17">
        <f>+C17</f>
        <v>2996513.2379783192</v>
      </c>
      <c r="F17" s="29"/>
    </row>
    <row r="18" spans="1:7" x14ac:dyDescent="0.25">
      <c r="A18" s="11" t="s">
        <v>12</v>
      </c>
      <c r="B18" s="16">
        <f>+B28</f>
        <v>194.41230843625857</v>
      </c>
      <c r="C18" s="17">
        <f>SUM(B18*48)*25*D18</f>
        <v>86319.064945698803</v>
      </c>
      <c r="D18" s="19">
        <v>0.37</v>
      </c>
      <c r="E18" s="17">
        <f>+C18</f>
        <v>86319.064945698803</v>
      </c>
      <c r="F18" s="29"/>
    </row>
    <row r="19" spans="1:7" x14ac:dyDescent="0.25">
      <c r="A19" s="11"/>
      <c r="B19" s="16"/>
      <c r="C19" s="17"/>
      <c r="D19" s="18"/>
      <c r="F19" s="11"/>
    </row>
    <row r="20" spans="1:7" x14ac:dyDescent="0.25">
      <c r="A20" s="25" t="s">
        <v>35</v>
      </c>
      <c r="B20" s="26">
        <f>SUM(B16:B18)</f>
        <v>18385.6754394489</v>
      </c>
      <c r="C20" s="27">
        <f>SUM(C16:C18)</f>
        <v>8163239.8951153113</v>
      </c>
      <c r="D20" s="49">
        <v>0.37</v>
      </c>
      <c r="E20" s="45">
        <f>SUM(E16:E18)</f>
        <v>8163239.8951153113</v>
      </c>
      <c r="F20" s="29"/>
      <c r="G20" s="47">
        <f>+E20*0.3722</f>
        <v>3038357.8889619187</v>
      </c>
    </row>
    <row r="23" spans="1:7" x14ac:dyDescent="0.25">
      <c r="A23" s="43" t="s">
        <v>75</v>
      </c>
      <c r="G23" s="48"/>
    </row>
    <row r="25" spans="1:7" x14ac:dyDescent="0.25">
      <c r="A25" s="15" t="s">
        <v>53</v>
      </c>
      <c r="B25" s="15" t="s">
        <v>71</v>
      </c>
      <c r="C25" s="15" t="s">
        <v>30</v>
      </c>
      <c r="D25" s="15" t="s">
        <v>31</v>
      </c>
      <c r="E25" s="15" t="s">
        <v>48</v>
      </c>
      <c r="F25" s="15"/>
      <c r="G25" s="15" t="s">
        <v>81</v>
      </c>
    </row>
    <row r="26" spans="1:7" x14ac:dyDescent="0.25">
      <c r="A26" s="11" t="s">
        <v>27</v>
      </c>
      <c r="B26" s="16">
        <f>SUM(B36/2)/240</f>
        <v>11442.359441872282</v>
      </c>
      <c r="C26" s="17">
        <f>SUM(B26*48)*25*D26</f>
        <v>7321459.706922343</v>
      </c>
      <c r="D26" s="22">
        <f>+D10</f>
        <v>0.53321314134814135</v>
      </c>
      <c r="E26" s="17">
        <f>+C26</f>
        <v>7321459.706922343</v>
      </c>
      <c r="F26" s="29"/>
    </row>
    <row r="27" spans="1:7" x14ac:dyDescent="0.25">
      <c r="A27" s="11" t="s">
        <v>28</v>
      </c>
      <c r="B27" s="16">
        <f t="shared" ref="B27:B28" si="1">SUM(B37/2)/240</f>
        <v>6748.9036891403584</v>
      </c>
      <c r="C27" s="17">
        <f>SUM(B27*48)*25*D27</f>
        <v>4318324.9640911091</v>
      </c>
      <c r="D27" s="22">
        <f>+D10</f>
        <v>0.53321314134814135</v>
      </c>
      <c r="E27" s="17">
        <f>+C27</f>
        <v>4318324.9640911091</v>
      </c>
      <c r="F27" s="29"/>
    </row>
    <row r="28" spans="1:7" x14ac:dyDescent="0.25">
      <c r="A28" s="11" t="s">
        <v>12</v>
      </c>
      <c r="B28" s="16">
        <f t="shared" si="1"/>
        <v>194.41230843625857</v>
      </c>
      <c r="C28" s="17">
        <f>SUM(B28*48)*25*D28</f>
        <v>124395.83723764942</v>
      </c>
      <c r="D28" s="22">
        <f>+D10</f>
        <v>0.53321314134814135</v>
      </c>
      <c r="E28" s="17">
        <f>+C28</f>
        <v>124395.83723764942</v>
      </c>
      <c r="F28" s="29"/>
    </row>
    <row r="29" spans="1:7" x14ac:dyDescent="0.25">
      <c r="A29" s="11"/>
      <c r="B29" s="16"/>
      <c r="C29" s="17"/>
      <c r="D29" s="18"/>
      <c r="F29" s="11"/>
    </row>
    <row r="30" spans="1:7" x14ac:dyDescent="0.25">
      <c r="A30" s="25" t="s">
        <v>35</v>
      </c>
      <c r="B30" s="26">
        <f>SUM(B26:B28)</f>
        <v>18385.6754394489</v>
      </c>
      <c r="C30" s="27">
        <f>SUM(C26:C28)</f>
        <v>11764180.508251101</v>
      </c>
      <c r="D30" s="30">
        <f>+D10</f>
        <v>0.53321314134814135</v>
      </c>
      <c r="E30" s="45">
        <f>SUM(E26:E28)</f>
        <v>11764180.508251101</v>
      </c>
      <c r="F30" s="29"/>
      <c r="G30" s="47">
        <f>+E30*0.3722</f>
        <v>4378627.9851710591</v>
      </c>
    </row>
    <row r="33" spans="1:4" x14ac:dyDescent="0.25">
      <c r="A33" s="43" t="s">
        <v>67</v>
      </c>
    </row>
    <row r="35" spans="1:4" x14ac:dyDescent="0.25">
      <c r="A35" s="38" t="s">
        <v>63</v>
      </c>
      <c r="B35" s="39" t="s">
        <v>57</v>
      </c>
      <c r="C35" s="39" t="s">
        <v>77</v>
      </c>
      <c r="D35" s="40" t="s">
        <v>59</v>
      </c>
    </row>
    <row r="36" spans="1:4" x14ac:dyDescent="0.25">
      <c r="A36" s="41" t="s">
        <v>27</v>
      </c>
      <c r="B36" s="36">
        <f>+'Proj NMT OWT 1-4 veh.'!B45</f>
        <v>5492332.5320986956</v>
      </c>
      <c r="C36" s="37">
        <f>+'Proj NMT OWT 1-4 veh.'!C45</f>
        <v>23365570.508114681</v>
      </c>
      <c r="D36" s="46">
        <f>+C36/B36</f>
        <v>4.2542162863519071</v>
      </c>
    </row>
    <row r="37" spans="1:4" x14ac:dyDescent="0.25">
      <c r="A37" s="41" t="s">
        <v>28</v>
      </c>
      <c r="B37" s="36">
        <f>+'Proj NMT OWT 1-4 veh.'!B46</f>
        <v>3239473.7707873723</v>
      </c>
      <c r="C37" s="37">
        <f>+'Proj NMT OWT 1-4 veh.'!C46</f>
        <v>10870046.895350032</v>
      </c>
      <c r="D37" s="46">
        <f t="shared" ref="D37:D38" si="2">+C37/B37</f>
        <v>3.3554977334198344</v>
      </c>
    </row>
    <row r="38" spans="1:4" x14ac:dyDescent="0.25">
      <c r="A38" s="41" t="s">
        <v>12</v>
      </c>
      <c r="B38" s="36">
        <f>+'Proj NMT OWT 1-4 veh.'!B47</f>
        <v>93317.908049404112</v>
      </c>
      <c r="C38" s="37">
        <f>+'Proj NMT OWT 1-4 veh.'!C47</f>
        <v>274751.85802246537</v>
      </c>
      <c r="D38" s="46">
        <f t="shared" si="2"/>
        <v>2.9442565073041176</v>
      </c>
    </row>
    <row r="39" spans="1:4" x14ac:dyDescent="0.25">
      <c r="A39" s="41"/>
      <c r="B39" s="16"/>
      <c r="C39" s="17"/>
      <c r="D39" s="42"/>
    </row>
    <row r="40" spans="1:4" x14ac:dyDescent="0.25">
      <c r="A40" s="25" t="s">
        <v>35</v>
      </c>
      <c r="B40" s="26">
        <f>SUM(B36:B38)</f>
        <v>8825124.2109354734</v>
      </c>
      <c r="C40" s="27">
        <f>SUM(C36:C38)</f>
        <v>34510369.261487179</v>
      </c>
      <c r="D40" s="33">
        <f>+C40/B40</f>
        <v>3.910468389637435</v>
      </c>
    </row>
    <row r="43" spans="1:4" x14ac:dyDescent="0.25">
      <c r="A43" s="43" t="s">
        <v>69</v>
      </c>
    </row>
    <row r="45" spans="1:4" x14ac:dyDescent="0.25">
      <c r="A45" s="38" t="s">
        <v>63</v>
      </c>
      <c r="B45" s="39" t="s">
        <v>57</v>
      </c>
      <c r="C45" s="39" t="s">
        <v>77</v>
      </c>
      <c r="D45" s="40" t="s">
        <v>59</v>
      </c>
    </row>
    <row r="46" spans="1:4" x14ac:dyDescent="0.25">
      <c r="A46" s="41" t="s">
        <v>27</v>
      </c>
      <c r="B46" s="36">
        <f>+'Proj NMT OWT 5+ Veh.'!B45</f>
        <v>5492332.5320986956</v>
      </c>
      <c r="C46" s="37">
        <f>+'Proj NMT OWT 5+ Veh.'!C45</f>
        <v>-4892480.3695331216</v>
      </c>
      <c r="D46" s="46">
        <f>+C46/B46</f>
        <v>-0.89078371364809505</v>
      </c>
    </row>
    <row r="47" spans="1:4" x14ac:dyDescent="0.25">
      <c r="A47" s="41" t="s">
        <v>28</v>
      </c>
      <c r="B47" s="36">
        <f>+'Proj NMT OWT 5+ Veh.'!B46</f>
        <v>3239473.7707873723</v>
      </c>
      <c r="C47" s="37">
        <f>+'Proj NMT OWT 5+ Veh.'!C46</f>
        <v>-5797045.6553509906</v>
      </c>
      <c r="D47" s="46">
        <f t="shared" ref="D47:D48" si="3">+C47/B47</f>
        <v>-1.7895022665801632</v>
      </c>
    </row>
    <row r="48" spans="1:4" x14ac:dyDescent="0.25">
      <c r="A48" s="41" t="s">
        <v>12</v>
      </c>
      <c r="B48" s="36">
        <f>+'Proj NMT OWT 5+ Veh.'!B47</f>
        <v>93317.908049404112</v>
      </c>
      <c r="C48" s="37">
        <f>+'Proj NMT OWT 5+ Veh.'!C47</f>
        <v>-205368.77889171871</v>
      </c>
      <c r="D48" s="46">
        <f t="shared" si="3"/>
        <v>-2.2007434926958815</v>
      </c>
    </row>
    <row r="49" spans="1:4" x14ac:dyDescent="0.25">
      <c r="A49" s="41"/>
      <c r="B49" s="16"/>
      <c r="C49" s="17"/>
      <c r="D49" s="42"/>
    </row>
    <row r="50" spans="1:4" x14ac:dyDescent="0.25">
      <c r="A50" s="25" t="s">
        <v>35</v>
      </c>
      <c r="B50" s="26">
        <f>SUM(B46:B48)</f>
        <v>8825124.2109354734</v>
      </c>
      <c r="C50" s="27">
        <f>SUM(C46:C48)</f>
        <v>-10894894.80377583</v>
      </c>
      <c r="D50" s="33">
        <f>+C50/B50</f>
        <v>-1.234531610362565</v>
      </c>
    </row>
    <row r="53" spans="1:4" x14ac:dyDescent="0.25">
      <c r="A53" s="43" t="s">
        <v>79</v>
      </c>
    </row>
    <row r="55" spans="1:4" x14ac:dyDescent="0.25">
      <c r="A55" s="38" t="s">
        <v>63</v>
      </c>
      <c r="B55" s="39" t="s">
        <v>57</v>
      </c>
      <c r="C55" s="39" t="s">
        <v>30</v>
      </c>
      <c r="D55" s="40" t="s">
        <v>59</v>
      </c>
    </row>
    <row r="56" spans="1:4" x14ac:dyDescent="0.25">
      <c r="A56" s="41" t="s">
        <v>27</v>
      </c>
      <c r="B56" s="36">
        <f>+B36</f>
        <v>5492332.5320986956</v>
      </c>
      <c r="C56" s="37">
        <f>SUM(C36*0.25)+SUM(C46*0.75)</f>
        <v>2172032.349878829</v>
      </c>
      <c r="D56" s="46">
        <f>+C56/B56</f>
        <v>0.3954662863519055</v>
      </c>
    </row>
    <row r="57" spans="1:4" x14ac:dyDescent="0.25">
      <c r="A57" s="41" t="s">
        <v>28</v>
      </c>
      <c r="B57" s="36">
        <f t="shared" ref="B57:B58" si="4">+B37</f>
        <v>3239473.7707873723</v>
      </c>
      <c r="C57" s="37">
        <f t="shared" ref="C57:C58" si="5">SUM(C37*0.25)+SUM(C47*0.75)</f>
        <v>-1630272.5176757351</v>
      </c>
      <c r="D57" s="46">
        <f t="shared" ref="D57:D58" si="6">+C57/B57</f>
        <v>-0.50325226658016375</v>
      </c>
    </row>
    <row r="58" spans="1:4" x14ac:dyDescent="0.25">
      <c r="A58" s="41" t="s">
        <v>12</v>
      </c>
      <c r="B58" s="36">
        <f t="shared" si="4"/>
        <v>93317.908049404112</v>
      </c>
      <c r="C58" s="37">
        <f t="shared" si="5"/>
        <v>-85338.619663172693</v>
      </c>
      <c r="D58" s="46">
        <f t="shared" si="6"/>
        <v>-0.91449349269588165</v>
      </c>
    </row>
    <row r="59" spans="1:4" x14ac:dyDescent="0.25">
      <c r="A59" s="41"/>
      <c r="B59" s="16"/>
      <c r="C59" s="17"/>
      <c r="D59" s="42"/>
    </row>
    <row r="60" spans="1:4" x14ac:dyDescent="0.25">
      <c r="A60" s="25" t="s">
        <v>35</v>
      </c>
      <c r="B60" s="26">
        <f>SUM(B56:B58)</f>
        <v>8825124.2109354734</v>
      </c>
      <c r="C60" s="27">
        <f>SUM(C56:C58)</f>
        <v>456421.21253992122</v>
      </c>
      <c r="D60" s="33">
        <f>+C60/B60</f>
        <v>5.1718389637434921E-2</v>
      </c>
    </row>
    <row r="63" spans="1:4" x14ac:dyDescent="0.25">
      <c r="A63" s="43" t="s">
        <v>76</v>
      </c>
    </row>
    <row r="65" spans="1:4" x14ac:dyDescent="0.25">
      <c r="A65" s="38" t="s">
        <v>63</v>
      </c>
      <c r="B65" s="39" t="s">
        <v>57</v>
      </c>
      <c r="C65" s="39" t="s">
        <v>30</v>
      </c>
      <c r="D65" s="40" t="s">
        <v>59</v>
      </c>
    </row>
    <row r="66" spans="1:4" x14ac:dyDescent="0.25">
      <c r="A66" s="41" t="s">
        <v>27</v>
      </c>
      <c r="B66" s="36">
        <f>+B46</f>
        <v>5492332.5320986956</v>
      </c>
      <c r="C66" s="37">
        <f>SUM(C36*0.3)+SUM(C46*0.7)</f>
        <v>3584934.893761219</v>
      </c>
      <c r="D66" s="46">
        <f>+C66/B66</f>
        <v>0.65271628635190559</v>
      </c>
    </row>
    <row r="67" spans="1:4" x14ac:dyDescent="0.25">
      <c r="A67" s="41" t="s">
        <v>28</v>
      </c>
      <c r="B67" s="36">
        <f t="shared" ref="B67:B68" si="7">+B47</f>
        <v>3239473.7707873723</v>
      </c>
      <c r="C67" s="37">
        <f>SUM(C37*0.3)+SUM(C47*0.7)</f>
        <v>-796917.89014068386</v>
      </c>
      <c r="D67" s="46">
        <f t="shared" ref="D67:D68" si="8">+C67/B67</f>
        <v>-0.24600226658016389</v>
      </c>
    </row>
    <row r="68" spans="1:4" x14ac:dyDescent="0.25">
      <c r="A68" s="41" t="s">
        <v>12</v>
      </c>
      <c r="B68" s="36">
        <f t="shared" si="7"/>
        <v>93317.908049404112</v>
      </c>
      <c r="C68" s="37">
        <f>SUM(C38*0.3)+SUM(C48*0.7)</f>
        <v>-61332.587817463485</v>
      </c>
      <c r="D68" s="46">
        <f t="shared" si="8"/>
        <v>-0.65724349269588167</v>
      </c>
    </row>
    <row r="69" spans="1:4" x14ac:dyDescent="0.25">
      <c r="A69" s="41"/>
      <c r="B69" s="16"/>
      <c r="C69" s="17"/>
      <c r="D69" s="42"/>
    </row>
    <row r="70" spans="1:4" x14ac:dyDescent="0.25">
      <c r="A70" s="25" t="s">
        <v>35</v>
      </c>
      <c r="B70" s="26">
        <f>SUM(B66:B68)</f>
        <v>8825124.2109354734</v>
      </c>
      <c r="C70" s="27">
        <f>SUM(C66:C68)</f>
        <v>2726684.4158030716</v>
      </c>
      <c r="D70" s="33">
        <f>+C70/B70</f>
        <v>0.30896838963743489</v>
      </c>
    </row>
    <row r="73" spans="1:4" x14ac:dyDescent="0.25">
      <c r="A73" s="43" t="s">
        <v>80</v>
      </c>
    </row>
    <row r="75" spans="1:4" x14ac:dyDescent="0.25">
      <c r="A75" s="38" t="s">
        <v>63</v>
      </c>
      <c r="B75" s="39" t="s">
        <v>57</v>
      </c>
      <c r="C75" s="39" t="s">
        <v>30</v>
      </c>
      <c r="D75" s="40" t="s">
        <v>59</v>
      </c>
    </row>
    <row r="76" spans="1:4" x14ac:dyDescent="0.25">
      <c r="A76" s="41" t="s">
        <v>27</v>
      </c>
      <c r="B76" s="36">
        <f>+B56</f>
        <v>5492332.5320986956</v>
      </c>
      <c r="C76" s="37">
        <f>SUM(C36*0.4)+SUM(C46*0.6)</f>
        <v>6410739.9815260004</v>
      </c>
      <c r="D76" s="46">
        <f>+C76/B76</f>
        <v>1.167216286351906</v>
      </c>
    </row>
    <row r="77" spans="1:4" x14ac:dyDescent="0.25">
      <c r="A77" s="41" t="s">
        <v>28</v>
      </c>
      <c r="B77" s="36">
        <f t="shared" ref="B77:B78" si="9">+B57</f>
        <v>3239473.7707873723</v>
      </c>
      <c r="C77" s="37">
        <f t="shared" ref="C77:C78" si="10">SUM(C37*0.4)+SUM(C47*0.6)</f>
        <v>869791.36492941855</v>
      </c>
      <c r="D77" s="46">
        <f t="shared" ref="D77:D78" si="11">+C77/B77</f>
        <v>0.2684977334198359</v>
      </c>
    </row>
    <row r="78" spans="1:4" x14ac:dyDescent="0.25">
      <c r="A78" s="41" t="s">
        <v>12</v>
      </c>
      <c r="B78" s="36">
        <f t="shared" si="9"/>
        <v>93317.908049404112</v>
      </c>
      <c r="C78" s="37">
        <f t="shared" si="10"/>
        <v>-13320.524126045071</v>
      </c>
      <c r="D78" s="46">
        <f t="shared" si="11"/>
        <v>-0.14274349269588166</v>
      </c>
    </row>
    <row r="79" spans="1:4" x14ac:dyDescent="0.25">
      <c r="A79" s="41"/>
      <c r="B79" s="16"/>
      <c r="C79" s="17"/>
      <c r="D79" s="42"/>
    </row>
    <row r="80" spans="1:4" x14ac:dyDescent="0.25">
      <c r="A80" s="25" t="s">
        <v>35</v>
      </c>
      <c r="B80" s="26">
        <f>SUM(B76:B78)</f>
        <v>8825124.2109354734</v>
      </c>
      <c r="C80" s="27">
        <f>SUM(C76:C78)</f>
        <v>7267210.822329374</v>
      </c>
      <c r="D80" s="33">
        <f>+C80/B80</f>
        <v>0.82346838963743507</v>
      </c>
    </row>
    <row r="81" spans="1:4" x14ac:dyDescent="0.25">
      <c r="A81" s="11"/>
      <c r="B81" s="16"/>
      <c r="C81" s="17"/>
      <c r="D81" s="18"/>
    </row>
    <row r="82" spans="1:4" x14ac:dyDescent="0.25">
      <c r="A82" s="11"/>
      <c r="B82" s="16"/>
      <c r="C82" s="17"/>
      <c r="D82" s="18"/>
    </row>
    <row r="83" spans="1:4" x14ac:dyDescent="0.25">
      <c r="A83" s="43" t="s">
        <v>78</v>
      </c>
    </row>
    <row r="85" spans="1:4" x14ac:dyDescent="0.25">
      <c r="A85" s="38" t="s">
        <v>63</v>
      </c>
      <c r="B85" s="39" t="s">
        <v>57</v>
      </c>
      <c r="C85" s="39" t="s">
        <v>30</v>
      </c>
      <c r="D85" s="40" t="s">
        <v>59</v>
      </c>
    </row>
    <row r="86" spans="1:4" x14ac:dyDescent="0.25">
      <c r="A86" s="41" t="s">
        <v>27</v>
      </c>
      <c r="B86" s="36">
        <f>+B66</f>
        <v>5492332.5320986956</v>
      </c>
      <c r="C86" s="37">
        <f>SUM(C36*0.5)+SUM(C46*0.5)</f>
        <v>9236545.0692907795</v>
      </c>
      <c r="D86" s="46">
        <f>+C86/B86</f>
        <v>1.6817162863519062</v>
      </c>
    </row>
    <row r="87" spans="1:4" x14ac:dyDescent="0.25">
      <c r="A87" s="41" t="s">
        <v>28</v>
      </c>
      <c r="B87" s="36">
        <f t="shared" ref="B87:B88" si="12">+B67</f>
        <v>3239473.7707873723</v>
      </c>
      <c r="C87" s="37">
        <f>SUM(C37*0.5)+SUM(C47*0.5)</f>
        <v>2536500.6199995205</v>
      </c>
      <c r="D87" s="46">
        <f t="shared" ref="D87:D88" si="13">+C87/B87</f>
        <v>0.78299773341983558</v>
      </c>
    </row>
    <row r="88" spans="1:4" x14ac:dyDescent="0.25">
      <c r="A88" s="41" t="s">
        <v>12</v>
      </c>
      <c r="B88" s="36">
        <f t="shared" si="12"/>
        <v>93317.908049404112</v>
      </c>
      <c r="C88" s="37">
        <f>SUM(C38*0.5)+SUM(C48*0.5)</f>
        <v>34691.539565373329</v>
      </c>
      <c r="D88" s="46">
        <f t="shared" si="13"/>
        <v>0.37175650730411819</v>
      </c>
    </row>
    <row r="89" spans="1:4" x14ac:dyDescent="0.25">
      <c r="A89" s="41"/>
      <c r="B89" s="16"/>
      <c r="C89" s="17"/>
      <c r="D89" s="42"/>
    </row>
    <row r="90" spans="1:4" x14ac:dyDescent="0.25">
      <c r="A90" s="25" t="s">
        <v>35</v>
      </c>
      <c r="B90" s="26">
        <f>SUM(B86:B88)</f>
        <v>8825124.2109354734</v>
      </c>
      <c r="C90" s="27">
        <f>SUM(C86:C88)</f>
        <v>11807737.228855673</v>
      </c>
      <c r="D90" s="33">
        <f>+C90/B90</f>
        <v>1.3379683896374348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AF583-1D2B-4463-8A4A-1B0C813BABFB}">
  <dimension ref="A1:B46"/>
  <sheetViews>
    <sheetView workbookViewId="0">
      <selection activeCell="B3" sqref="B3:O7"/>
    </sheetView>
  </sheetViews>
  <sheetFormatPr defaultRowHeight="15" x14ac:dyDescent="0.25"/>
  <sheetData>
    <row r="1" spans="1:2" x14ac:dyDescent="0.25">
      <c r="A1" s="53" t="s">
        <v>110</v>
      </c>
    </row>
    <row r="3" spans="1:2" x14ac:dyDescent="0.25">
      <c r="B3" s="43" t="s">
        <v>117</v>
      </c>
    </row>
    <row r="4" spans="1:2" x14ac:dyDescent="0.25">
      <c r="B4" s="43" t="s">
        <v>111</v>
      </c>
    </row>
    <row r="5" spans="1:2" x14ac:dyDescent="0.25">
      <c r="B5" s="43" t="s">
        <v>114</v>
      </c>
    </row>
    <row r="6" spans="1:2" x14ac:dyDescent="0.25">
      <c r="B6" s="43" t="s">
        <v>116</v>
      </c>
    </row>
    <row r="7" spans="1:2" x14ac:dyDescent="0.25">
      <c r="B7" s="43" t="s">
        <v>115</v>
      </c>
    </row>
    <row r="10" spans="1:2" x14ac:dyDescent="0.25">
      <c r="A10" s="56" t="s">
        <v>82</v>
      </c>
    </row>
    <row r="11" spans="1:2" x14ac:dyDescent="0.25">
      <c r="A11" s="50"/>
    </row>
    <row r="12" spans="1:2" x14ac:dyDescent="0.25">
      <c r="A12" s="57" t="s">
        <v>83</v>
      </c>
    </row>
    <row r="13" spans="1:2" x14ac:dyDescent="0.25">
      <c r="A13" s="51"/>
    </row>
    <row r="14" spans="1:2" x14ac:dyDescent="0.25">
      <c r="A14" s="52" t="s">
        <v>84</v>
      </c>
    </row>
    <row r="15" spans="1:2" x14ac:dyDescent="0.25">
      <c r="A15" s="52" t="s">
        <v>85</v>
      </c>
    </row>
    <row r="16" spans="1:2" x14ac:dyDescent="0.25">
      <c r="A16" s="52" t="s">
        <v>86</v>
      </c>
    </row>
    <row r="17" spans="1:1" x14ac:dyDescent="0.25">
      <c r="A17" s="52" t="s">
        <v>87</v>
      </c>
    </row>
    <row r="18" spans="1:1" x14ac:dyDescent="0.25">
      <c r="A18" s="52" t="s">
        <v>85</v>
      </c>
    </row>
    <row r="19" spans="1:1" x14ac:dyDescent="0.25">
      <c r="A19" s="52" t="s">
        <v>86</v>
      </c>
    </row>
    <row r="20" spans="1:1" x14ac:dyDescent="0.25">
      <c r="A20" s="52" t="s">
        <v>88</v>
      </c>
    </row>
    <row r="21" spans="1:1" x14ac:dyDescent="0.25">
      <c r="A21" s="52" t="s">
        <v>85</v>
      </c>
    </row>
    <row r="22" spans="1:1" x14ac:dyDescent="0.25">
      <c r="A22" s="52" t="s">
        <v>86</v>
      </c>
    </row>
    <row r="23" spans="1:1" x14ac:dyDescent="0.25">
      <c r="A23" s="52" t="s">
        <v>89</v>
      </c>
    </row>
    <row r="24" spans="1:1" x14ac:dyDescent="0.25">
      <c r="A24" s="52" t="s">
        <v>90</v>
      </c>
    </row>
    <row r="25" spans="1:1" x14ac:dyDescent="0.25">
      <c r="A25" s="52" t="s">
        <v>91</v>
      </c>
    </row>
    <row r="26" spans="1:1" x14ac:dyDescent="0.25">
      <c r="A26" s="52" t="s">
        <v>92</v>
      </c>
    </row>
    <row r="27" spans="1:1" x14ac:dyDescent="0.25">
      <c r="A27" s="52" t="s">
        <v>93</v>
      </c>
    </row>
    <row r="28" spans="1:1" x14ac:dyDescent="0.25">
      <c r="A28" s="52" t="s">
        <v>94</v>
      </c>
    </row>
    <row r="29" spans="1:1" x14ac:dyDescent="0.25">
      <c r="A29" s="52"/>
    </row>
    <row r="30" spans="1:1" x14ac:dyDescent="0.25">
      <c r="A30" s="52" t="s">
        <v>95</v>
      </c>
    </row>
    <row r="31" spans="1:1" x14ac:dyDescent="0.25">
      <c r="A31" s="52" t="s">
        <v>96</v>
      </c>
    </row>
    <row r="32" spans="1:1" x14ac:dyDescent="0.25">
      <c r="A32" s="52" t="s">
        <v>97</v>
      </c>
    </row>
    <row r="33" spans="1:1" x14ac:dyDescent="0.25">
      <c r="A33" s="52"/>
    </row>
    <row r="34" spans="1:1" x14ac:dyDescent="0.25">
      <c r="A34" s="52" t="s">
        <v>98</v>
      </c>
    </row>
    <row r="35" spans="1:1" x14ac:dyDescent="0.25">
      <c r="A35" s="52" t="s">
        <v>99</v>
      </c>
    </row>
    <row r="36" spans="1:1" x14ac:dyDescent="0.25">
      <c r="A36" s="52" t="s">
        <v>100</v>
      </c>
    </row>
    <row r="37" spans="1:1" x14ac:dyDescent="0.25">
      <c r="A37" s="52" t="s">
        <v>101</v>
      </c>
    </row>
    <row r="38" spans="1:1" x14ac:dyDescent="0.25">
      <c r="A38" s="52" t="s">
        <v>102</v>
      </c>
    </row>
    <row r="39" spans="1:1" x14ac:dyDescent="0.25">
      <c r="A39" s="52" t="s">
        <v>103</v>
      </c>
    </row>
    <row r="40" spans="1:1" x14ac:dyDescent="0.25">
      <c r="A40" s="50"/>
    </row>
    <row r="41" spans="1:1" x14ac:dyDescent="0.25">
      <c r="A41" s="52" t="s">
        <v>104</v>
      </c>
    </row>
    <row r="42" spans="1:1" x14ac:dyDescent="0.25">
      <c r="A42" s="52" t="s">
        <v>105</v>
      </c>
    </row>
    <row r="43" spans="1:1" x14ac:dyDescent="0.25">
      <c r="A43" s="52" t="s">
        <v>106</v>
      </c>
    </row>
    <row r="44" spans="1:1" x14ac:dyDescent="0.25">
      <c r="A44" s="52" t="s">
        <v>107</v>
      </c>
    </row>
    <row r="45" spans="1:1" x14ac:dyDescent="0.25">
      <c r="A45" s="52" t="s">
        <v>108</v>
      </c>
    </row>
    <row r="46" spans="1:1" x14ac:dyDescent="0.25">
      <c r="A46" s="52" t="s">
        <v>109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workbookViewId="0">
      <selection activeCell="F15" sqref="F15"/>
    </sheetView>
  </sheetViews>
  <sheetFormatPr defaultRowHeight="15" x14ac:dyDescent="0.25"/>
  <cols>
    <col min="1" max="1" width="26.85546875" customWidth="1"/>
    <col min="2" max="2" width="27.28515625" bestFit="1" customWidth="1"/>
    <col min="3" max="3" width="11.85546875" bestFit="1" customWidth="1"/>
    <col min="4" max="4" width="10.28515625" bestFit="1" customWidth="1"/>
    <col min="5" max="5" width="16.28515625" bestFit="1" customWidth="1"/>
  </cols>
  <sheetData>
    <row r="1" spans="1:5" ht="18" x14ac:dyDescent="0.25">
      <c r="A1" s="58" t="s">
        <v>0</v>
      </c>
      <c r="B1" s="59"/>
      <c r="C1" s="59"/>
      <c r="D1" s="59"/>
      <c r="E1" s="59"/>
    </row>
    <row r="2" spans="1:5" x14ac:dyDescent="0.25">
      <c r="A2" s="60" t="s">
        <v>1</v>
      </c>
      <c r="B2" s="59"/>
      <c r="C2" s="59"/>
      <c r="D2" s="59"/>
      <c r="E2" s="59"/>
    </row>
    <row r="3" spans="1:5" x14ac:dyDescent="0.25">
      <c r="A3" s="61" t="s">
        <v>25</v>
      </c>
      <c r="B3" s="59"/>
      <c r="C3" s="59"/>
      <c r="D3" s="59"/>
      <c r="E3" s="59"/>
    </row>
    <row r="4" spans="1:5" ht="15.75" thickBot="1" x14ac:dyDescent="0.3">
      <c r="A4" s="59"/>
      <c r="B4" s="59"/>
      <c r="C4" s="59"/>
      <c r="D4" s="59"/>
      <c r="E4" s="59"/>
    </row>
    <row r="5" spans="1:5" ht="15.75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</row>
    <row r="6" spans="1:5" ht="15.75" thickBot="1" x14ac:dyDescent="0.3">
      <c r="A6" s="2" t="s">
        <v>7</v>
      </c>
      <c r="B6" s="2" t="s">
        <v>23</v>
      </c>
      <c r="C6" s="2" t="s">
        <v>8</v>
      </c>
      <c r="D6" s="3">
        <v>34211832</v>
      </c>
      <c r="E6" s="4">
        <v>12682966.24</v>
      </c>
    </row>
    <row r="7" spans="1:5" ht="15.75" thickBot="1" x14ac:dyDescent="0.3">
      <c r="A7" s="2" t="s">
        <v>7</v>
      </c>
      <c r="B7" s="2" t="s">
        <v>9</v>
      </c>
      <c r="C7" s="2" t="s">
        <v>10</v>
      </c>
      <c r="D7" s="3">
        <v>5391017</v>
      </c>
      <c r="E7" s="4">
        <v>101620582.65000001</v>
      </c>
    </row>
    <row r="8" spans="1:5" ht="15.75" thickBot="1" x14ac:dyDescent="0.3">
      <c r="A8" s="2" t="s">
        <v>7</v>
      </c>
      <c r="B8" s="2" t="s">
        <v>9</v>
      </c>
      <c r="C8" s="2" t="s">
        <v>8</v>
      </c>
      <c r="D8" s="3">
        <v>1813557</v>
      </c>
      <c r="E8" s="4">
        <v>1909796.13</v>
      </c>
    </row>
    <row r="9" spans="1:5" ht="15.75" thickBot="1" x14ac:dyDescent="0.3">
      <c r="A9" s="2" t="s">
        <v>11</v>
      </c>
      <c r="B9" s="2" t="s">
        <v>24</v>
      </c>
      <c r="C9" s="2" t="s">
        <v>8</v>
      </c>
      <c r="D9" s="3">
        <v>3083671</v>
      </c>
      <c r="E9" s="4">
        <v>1233084.9099999999</v>
      </c>
    </row>
    <row r="10" spans="1:5" ht="15.75" thickBot="1" x14ac:dyDescent="0.3">
      <c r="A10" s="2" t="s">
        <v>11</v>
      </c>
      <c r="B10" s="2" t="s">
        <v>9</v>
      </c>
      <c r="C10" s="2" t="s">
        <v>10</v>
      </c>
      <c r="D10" s="3">
        <v>3190710</v>
      </c>
      <c r="E10" s="4">
        <v>59435914.969999999</v>
      </c>
    </row>
    <row r="11" spans="1:5" ht="15.75" thickBot="1" x14ac:dyDescent="0.3">
      <c r="A11" s="2" t="s">
        <v>11</v>
      </c>
      <c r="B11" s="2" t="s">
        <v>9</v>
      </c>
      <c r="C11" s="2" t="s">
        <v>8</v>
      </c>
      <c r="D11" s="3">
        <v>820665</v>
      </c>
      <c r="E11" s="4">
        <v>908361.88</v>
      </c>
    </row>
    <row r="12" spans="1:5" ht="15.75" thickBot="1" x14ac:dyDescent="0.3">
      <c r="A12" s="2" t="s">
        <v>12</v>
      </c>
      <c r="B12" s="2" t="s">
        <v>9</v>
      </c>
      <c r="C12" s="2" t="s">
        <v>10</v>
      </c>
      <c r="D12" s="3">
        <v>90360</v>
      </c>
      <c r="E12" s="4">
        <v>1720367.97</v>
      </c>
    </row>
    <row r="13" spans="1:5" ht="15.75" thickBot="1" x14ac:dyDescent="0.3">
      <c r="A13" s="2" t="s">
        <v>12</v>
      </c>
      <c r="B13" s="2" t="s">
        <v>9</v>
      </c>
      <c r="C13" s="2" t="s">
        <v>8</v>
      </c>
      <c r="D13" s="3">
        <v>49326</v>
      </c>
      <c r="E13" s="4">
        <v>56315.74</v>
      </c>
    </row>
    <row r="14" spans="1:5" ht="15.75" thickBot="1" x14ac:dyDescent="0.3">
      <c r="A14" s="62" t="s">
        <v>13</v>
      </c>
      <c r="B14" s="63"/>
      <c r="C14" s="64"/>
      <c r="D14" s="5">
        <v>48651138</v>
      </c>
      <c r="E14" s="6">
        <v>179567390.49000001</v>
      </c>
    </row>
    <row r="15" spans="1:5" x14ac:dyDescent="0.25">
      <c r="A15" s="65">
        <v>43220</v>
      </c>
      <c r="B15" s="59"/>
      <c r="C15" s="60" t="s">
        <v>14</v>
      </c>
      <c r="D15" s="59"/>
      <c r="E15" s="7">
        <v>0.36969907000000002</v>
      </c>
    </row>
    <row r="17" spans="1:5" ht="15.75" x14ac:dyDescent="0.25">
      <c r="A17" s="8" t="s">
        <v>15</v>
      </c>
      <c r="B17" s="8"/>
      <c r="C17" s="8"/>
      <c r="D17" s="9">
        <v>694693</v>
      </c>
      <c r="E17" t="s">
        <v>16</v>
      </c>
    </row>
    <row r="18" spans="1:5" x14ac:dyDescent="0.25">
      <c r="A18" s="8"/>
      <c r="B18" s="8"/>
      <c r="C18" s="8"/>
      <c r="D18" s="8"/>
      <c r="E18" s="8"/>
    </row>
    <row r="19" spans="1:5" x14ac:dyDescent="0.25">
      <c r="A19" s="8"/>
      <c r="B19" s="8"/>
      <c r="E19" s="8"/>
    </row>
    <row r="20" spans="1:5" x14ac:dyDescent="0.25">
      <c r="A20" s="8"/>
      <c r="B20" s="8"/>
      <c r="E20" s="8"/>
    </row>
    <row r="21" spans="1:5" x14ac:dyDescent="0.25">
      <c r="A21" s="8"/>
      <c r="B21" s="8"/>
      <c r="E21" s="8"/>
    </row>
    <row r="22" spans="1:5" x14ac:dyDescent="0.25">
      <c r="A22" s="8"/>
      <c r="B22" s="8"/>
      <c r="E22" s="8"/>
    </row>
    <row r="24" spans="1:5" x14ac:dyDescent="0.25">
      <c r="B24" t="s">
        <v>5</v>
      </c>
    </row>
    <row r="25" spans="1:5" x14ac:dyDescent="0.25">
      <c r="A25" s="11" t="s">
        <v>7</v>
      </c>
      <c r="B25" s="12">
        <v>34185510</v>
      </c>
    </row>
    <row r="26" spans="1:5" x14ac:dyDescent="0.25">
      <c r="A26" t="s">
        <v>17</v>
      </c>
      <c r="B26" s="10">
        <v>23117859</v>
      </c>
    </row>
    <row r="27" spans="1:5" x14ac:dyDescent="0.25">
      <c r="A27" t="s">
        <v>21</v>
      </c>
      <c r="B27" s="10">
        <v>8440026</v>
      </c>
    </row>
    <row r="28" spans="1:5" x14ac:dyDescent="0.25">
      <c r="A28" t="s">
        <v>22</v>
      </c>
      <c r="B28" s="10">
        <v>2627625</v>
      </c>
    </row>
    <row r="29" spans="1:5" x14ac:dyDescent="0.25">
      <c r="A29" s="11" t="s">
        <v>11</v>
      </c>
      <c r="B29" s="12">
        <v>3083447</v>
      </c>
    </row>
    <row r="30" spans="1:5" x14ac:dyDescent="0.25">
      <c r="A30" t="s">
        <v>17</v>
      </c>
      <c r="B30" s="10">
        <v>2496903</v>
      </c>
    </row>
    <row r="31" spans="1:5" x14ac:dyDescent="0.25">
      <c r="A31" t="s">
        <v>21</v>
      </c>
      <c r="B31" s="10">
        <v>456788</v>
      </c>
    </row>
    <row r="32" spans="1:5" x14ac:dyDescent="0.25">
      <c r="A32" t="s">
        <v>22</v>
      </c>
      <c r="B32" s="10">
        <v>129756</v>
      </c>
    </row>
    <row r="33" spans="1:2" x14ac:dyDescent="0.25">
      <c r="A33" s="11" t="s">
        <v>12</v>
      </c>
    </row>
    <row r="34" spans="1:2" x14ac:dyDescent="0.25">
      <c r="A34" s="8" t="s">
        <v>17</v>
      </c>
      <c r="B34" s="13">
        <f>0.75*D17</f>
        <v>521019.75</v>
      </c>
    </row>
    <row r="35" spans="1:2" x14ac:dyDescent="0.25">
      <c r="A35" s="8" t="s">
        <v>18</v>
      </c>
      <c r="B35" s="13">
        <f>0.2*D17</f>
        <v>138938.6</v>
      </c>
    </row>
    <row r="36" spans="1:2" x14ac:dyDescent="0.25">
      <c r="A36" s="8" t="s">
        <v>19</v>
      </c>
      <c r="B36" s="13">
        <f>0.05*D17</f>
        <v>34734.65</v>
      </c>
    </row>
    <row r="37" spans="1:2" x14ac:dyDescent="0.25">
      <c r="A37" s="8" t="s">
        <v>20</v>
      </c>
      <c r="B37" s="8"/>
    </row>
  </sheetData>
  <mergeCells count="6">
    <mergeCell ref="A1:E1"/>
    <mergeCell ref="A2:E2"/>
    <mergeCell ref="A3:E4"/>
    <mergeCell ref="A14:C14"/>
    <mergeCell ref="A15:B15"/>
    <mergeCell ref="C15:D15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Proj NMT OWT 1-4 veh.</vt:lpstr>
      <vt:lpstr>Proj NMT OWT 5+ Veh.</vt:lpstr>
      <vt:lpstr>FY 2017 NMT Analysis</vt:lpstr>
      <vt:lpstr>Proj Mileage w-Mod. Vehicle</vt:lpstr>
      <vt:lpstr>Proj Mileage wo-Mod. Veh.</vt:lpstr>
      <vt:lpstr>FY 2017 Mileage Analysis</vt:lpstr>
      <vt:lpstr>Summary</vt:lpstr>
      <vt:lpstr>Requested Data</vt:lpstr>
      <vt:lpstr>DODD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Steedman, Laurel</dc:creator>
  <cp:lastModifiedBy>Gary Brown</cp:lastModifiedBy>
  <dcterms:created xsi:type="dcterms:W3CDTF">2018-06-22T17:27:32Z</dcterms:created>
  <dcterms:modified xsi:type="dcterms:W3CDTF">2019-04-03T18:55:11Z</dcterms:modified>
</cp:coreProperties>
</file>