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thompson\2016\December\"/>
    </mc:Choice>
  </mc:AlternateContent>
  <bookViews>
    <workbookView xWindow="120" yWindow="45" windowWidth="19035" windowHeight="10995" activeTab="3"/>
  </bookViews>
  <sheets>
    <sheet name="Balance Sheet" sheetId="141" r:id="rId1"/>
    <sheet name="Income Statement" sheetId="142" r:id="rId2"/>
    <sheet name="Actual vs Budget" sheetId="143" r:id="rId3"/>
    <sheet name="Cash Flow" sheetId="144" r:id="rId4"/>
    <sheet name="Sheet2" sheetId="2" state="hidden" r:id="rId5"/>
    <sheet name="Sheet3" sheetId="3" state="hidden" r:id="rId6"/>
  </sheets>
  <definedNames>
    <definedName name="_xlnm.Print_Titles" localSheetId="2">'Actual vs Budget'!$1:$5</definedName>
    <definedName name="_xlnm.Print_Titles" localSheetId="0">'Balance Sheet'!$1:$5</definedName>
    <definedName name="_xlnm.Print_Titles" localSheetId="1">'Income Statement'!$1:$5</definedName>
    <definedName name="QB_BASIS_4" localSheetId="3" hidden="1">'Cash Flow'!$F$3</definedName>
    <definedName name="QB_COLUMN_29" localSheetId="3" hidden="1">'Cash Flow'!$F$4</definedName>
    <definedName name="QB_COLUMN_59200" localSheetId="2" hidden="1">'Actual vs Budget'!$F$5</definedName>
    <definedName name="QB_COLUMN_59200" localSheetId="0" hidden="1">'Balance Sheet'!$F$5</definedName>
    <definedName name="QB_COLUMN_59200" localSheetId="1" hidden="1">'Income Statement'!$F$5</definedName>
    <definedName name="QB_COLUMN_61210" localSheetId="0" hidden="1">'Balance Sheet'!$H$5</definedName>
    <definedName name="QB_COLUMN_61210" localSheetId="1" hidden="1">'Income Statement'!$H$5</definedName>
    <definedName name="QB_COLUMN_63620" localSheetId="2" hidden="1">'Actual vs Budget'!$J$5</definedName>
    <definedName name="QB_COLUMN_63620" localSheetId="0" hidden="1">'Balance Sheet'!$J$5</definedName>
    <definedName name="QB_COLUMN_63620" localSheetId="1" hidden="1">'Income Statement'!$J$5</definedName>
    <definedName name="QB_COLUMN_76210" localSheetId="2" hidden="1">'Actual vs Budget'!$H$5</definedName>
    <definedName name="QB_COMPANY_0" localSheetId="2" hidden="1">'Actual vs Budget'!$A$1</definedName>
    <definedName name="QB_COMPANY_0" localSheetId="0" hidden="1">'Balance Sheet'!$A$1</definedName>
    <definedName name="QB_COMPANY_0" localSheetId="3" hidden="1">'Cash Flow'!$A$1</definedName>
    <definedName name="QB_COMPANY_0" localSheetId="1" hidden="1">'Income Statement'!$A$1</definedName>
    <definedName name="QB_DATA_0" localSheetId="2" hidden="1">'Actual vs Budget'!$8:$8,'Actual vs Budget'!$9:$9,'Actual vs Budget'!$10:$10,'Actual vs Budget'!$11:$11,'Actual vs Budget'!$12:$12,'Actual vs Budget'!$13:$13,'Actual vs Budget'!$14:$14,'Actual vs Budget'!$15:$15,'Actual vs Budget'!$16:$16,'Actual vs Budget'!$17:$17,'Actual vs Budget'!$18:$18,'Actual vs Budget'!$19:$19,'Actual vs Budget'!#REF!,'Actual vs Budget'!$20:$20,'Actual vs Budget'!$21:$21,'Actual vs Budget'!$22:$22</definedName>
    <definedName name="QB_DATA_0" localSheetId="0" hidden="1">'Balance Sheet'!$9:$9,'Balance Sheet'!$10:$10,'Balance Sheet'!$11:$11,'Balance Sheet'!$14:$14,'Balance Sheet'!$15:$15,'Balance Sheet'!$18:$18,'Balance Sheet'!$23:$23,'Balance Sheet'!$24:$24,'Balance Sheet'!$25:$25,'Balance Sheet'!$27:$27,'Balance Sheet'!$28:$28,'Balance Sheet'!$29:$29,'Balance Sheet'!$32:$32,'Balance Sheet'!$34:$34,'Balance Sheet'!$41:$41,'Balance Sheet'!$44:$44</definedName>
    <definedName name="QB_DATA_0" localSheetId="3" hidden="1">'Cash Flow'!$6:$6,'Cash Flow'!$9:$9,'Cash Flow'!$10:$10,'Cash Flow'!$11:$11,'Cash Flow'!$12:$12,'Cash Flow'!$13:$13,'Cash Flow'!$14:$14,'Cash Flow'!$16:$16,'Cash Flow'!$17:$17,'Cash Flow'!$18:$18,'Cash Flow'!$19:$19,'Cash Flow'!$20:$20,'Cash Flow'!$21:$21,'Cash Flow'!$22:$22,'Cash Flow'!$23:$23,'Cash Flow'!$26:$26</definedName>
    <definedName name="QB_DATA_0" localSheetId="1" hidden="1">'Income Statement'!$8:$8,'Income Statement'!$9:$9,'Income Statement'!$10:$10,'Income Statement'!$11:$11,'Income Statement'!$12:$12,'Income Statement'!$13:$13,'Income Statement'!$14:$14,'Income Statement'!$15:$15,'Income Statement'!$16:$16,'Income Statement'!$17:$17,'Income Statement'!$18:$18,'Income Statement'!$19:$19,'Income Statement'!$20:$20,'Income Statement'!$21:$21,'Income Statement'!$22:$22,'Income Statement'!$23:$23</definedName>
    <definedName name="QB_DATA_1" localSheetId="2" hidden="1">'Actual vs Budget'!$23:$23,'Actual vs Budget'!$24:$24,'Actual vs Budget'!$25:$25,'Actual vs Budget'!$26:$26,'Actual vs Budget'!$30:$30,'Actual vs Budget'!$31:$31,'Actual vs Budget'!$32:$32,'Actual vs Budget'!$33:$33,'Actual vs Budget'!$34:$34,'Actual vs Budget'!$35:$35,'Actual vs Budget'!$36:$36,'Actual vs Budget'!$37:$37,'Actual vs Budget'!$38:$38,'Actual vs Budget'!$39:$39,'Actual vs Budget'!$40:$40,'Actual vs Budget'!$41:$41</definedName>
    <definedName name="QB_DATA_1" localSheetId="0" hidden="1">'Balance Sheet'!$47:$47,'Balance Sheet'!$48:$48,'Balance Sheet'!$49:$49,'Balance Sheet'!$50:$50,'Balance Sheet'!$51:$51,'Balance Sheet'!$52:$52,'Balance Sheet'!$53:$53,'Balance Sheet'!$57:$57,'Balance Sheet'!$61:$61,'Balance Sheet'!$62:$62</definedName>
    <definedName name="QB_DATA_1" localSheetId="3" hidden="1">'Cash Flow'!#REF!,'Cash Flow'!$27:$27,'Cash Flow'!$28:$28,'Cash Flow'!#REF!,'Cash Flow'!$31:$31,'Cash Flow'!$32:$32,'Cash Flow'!$35:$35</definedName>
    <definedName name="QB_DATA_1" localSheetId="1" hidden="1">'Income Statement'!$24:$24,'Income Statement'!$25:$25,'Income Statement'!$26:$26,'Income Statement'!$30:$30,'Income Statement'!$31:$31,'Income Statement'!$32:$32,'Income Statement'!$33:$33,'Income Statement'!$34:$34,'Income Statement'!$35:$35,'Income Statement'!$36:$36,'Income Statement'!$37:$37,'Income Statement'!$38:$38,'Income Statement'!$39:$39,'Income Statement'!$40:$40,'Income Statement'!$41:$41,'Income Statement'!$42:$42</definedName>
    <definedName name="QB_DATA_2" localSheetId="2" hidden="1">'Actual vs Budget'!$42:$42,'Actual vs Budget'!$43:$43,'Actual vs Budget'!$44:$44,'Actual vs Budget'!$45:$45,'Actual vs Budget'!$46:$46,'Actual vs Budget'!$47:$47,'Actual vs Budget'!$48:$48,'Actual vs Budget'!$49:$49,'Actual vs Budget'!$50:$50,'Actual vs Budget'!$51:$51,'Actual vs Budget'!$52:$52,'Actual vs Budget'!$53:$53,'Actual vs Budget'!$54:$54,'Actual vs Budget'!$55:$55,'Actual vs Budget'!$56:$56,'Actual vs Budget'!$57:$57</definedName>
    <definedName name="QB_DATA_2" localSheetId="1" hidden="1">'Income Statement'!$43:$43,'Income Statement'!$44:$44,'Income Statement'!$45:$45,'Income Statement'!$46:$46,'Income Statement'!$47:$47,'Income Statement'!$48:$48,'Income Statement'!$49:$49,'Income Statement'!$50:$50,'Income Statement'!$51:$51,'Income Statement'!$52:$52,'Income Statement'!$53:$53,'Income Statement'!$54:$54,'Income Statement'!$55:$55,'Income Statement'!$56:$56,'Income Statement'!$57:$57,'Income Statement'!$58:$58</definedName>
    <definedName name="QB_DATA_3" localSheetId="2" hidden="1">'Actual vs Budget'!$58:$58,'Actual vs Budget'!$59:$59,'Actual vs Budget'!$60:$60,'Actual vs Budget'!$61:$61,'Actual vs Budget'!$62:$62,'Actual vs Budget'!$63:$63,'Actual vs Budget'!$64:$64,'Actual vs Budget'!$65:$65,'Actual vs Budget'!$66:$66,'Actual vs Budget'!$67:$67,'Actual vs Budget'!$68:$68,'Actual vs Budget'!$69:$69,'Actual vs Budget'!$70:$70,'Actual vs Budget'!$71:$71,'Actual vs Budget'!$72:$72,'Actual vs Budget'!$73:$73</definedName>
    <definedName name="QB_DATA_3" localSheetId="1" hidden="1">'Income Statement'!$59:$59,'Income Statement'!$60:$60,'Income Statement'!$61:$61,'Income Statement'!$62:$62,'Income Statement'!$63:$63,'Income Statement'!$64:$64,'Income Statement'!$65:$65,'Income Statement'!$66:$66,'Income Statement'!$67:$67,'Income Statement'!$68:$68,'Income Statement'!$69:$69,'Income Statement'!$70:$70,'Income Statement'!$71:$71,'Income Statement'!$72:$72,'Income Statement'!$73:$73,'Income Statement'!$74:$74</definedName>
    <definedName name="QB_DATA_4" localSheetId="2" hidden="1">'Actual vs Budget'!$74:$74,'Actual vs Budget'!$75:$75,'Actual vs Budget'!$76:$76,'Actual vs Budget'!$77:$77,'Actual vs Budget'!$78:$78,'Actual vs Budget'!#REF!,'Actual vs Budget'!$79:$79,'Actual vs Budget'!$84:$84,'Actual vs Budget'!$85:$85,'Actual vs Budget'!$86:$86,'Actual vs Budget'!$87:$87,'Actual vs Budget'!$88:$88,'Actual vs Budget'!$89:$89</definedName>
    <definedName name="QB_DATA_4" localSheetId="1" hidden="1">'Income Statement'!$75:$75,'Income Statement'!$76:$76,'Income Statement'!$77:$77,'Income Statement'!$78:$78,'Income Statement'!$79:$79,'Income Statement'!$80:$80,'Income Statement'!#REF!,'Income Statement'!$81:$81,'Income Statement'!$86:$86,'Income Statement'!$87:$87,'Income Statement'!$88:$88,'Income Statement'!$89:$89,'Income Statement'!$90:$90,'Income Statement'!$91:$91</definedName>
    <definedName name="QB_FORMULA_0" localSheetId="2" hidden="1">'Actual vs Budget'!$J$8,'Actual vs Budget'!$J$9,'Actual vs Budget'!$J$10,'Actual vs Budget'!$J$11,'Actual vs Budget'!$J$12,'Actual vs Budget'!$J$13,'Actual vs Budget'!$J$14,'Actual vs Budget'!$J$15,'Actual vs Budget'!$J$16,'Actual vs Budget'!$J$17,'Actual vs Budget'!$J$18,'Actual vs Budget'!$J$19,'Actual vs Budget'!#REF!,'Actual vs Budget'!$J$20,'Actual vs Budget'!$J$21,'Actual vs Budget'!$J$22</definedName>
    <definedName name="QB_FORMULA_0" localSheetId="0" hidden="1">'Balance Sheet'!$J$9,'Balance Sheet'!$J$10,'Balance Sheet'!$J$11,'Balance Sheet'!$F$12,'Balance Sheet'!$H$12,'Balance Sheet'!$J$12,'Balance Sheet'!$J$14,'Balance Sheet'!$J$15,'Balance Sheet'!$F$16,'Balance Sheet'!$H$16,'Balance Sheet'!$J$16,'Balance Sheet'!$J$18,'Balance Sheet'!$F$19,'Balance Sheet'!$H$19,'Balance Sheet'!$J$19,'Balance Sheet'!$F$20</definedName>
    <definedName name="QB_FORMULA_0" localSheetId="3" hidden="1">'Cash Flow'!$F$24,'Cash Flow'!$F$29,'Cash Flow'!$F$33,'Cash Flow'!$F$34,'Cash Flow'!$F$36</definedName>
    <definedName name="QB_FORMULA_0" localSheetId="1" hidden="1">'Income Statement'!$J$8,'Income Statement'!$J$9,'Income Statement'!$J$10,'Income Statement'!$J$11,'Income Statement'!$J$12,'Income Statement'!$J$13,'Income Statement'!$J$14,'Income Statement'!$J$15,'Income Statement'!$J$16,'Income Statement'!$J$17,'Income Statement'!$J$18,'Income Statement'!$J$19,'Income Statement'!$J$20,'Income Statement'!$J$21,'Income Statement'!$J$22,'Income Statement'!$J$23</definedName>
    <definedName name="QB_FORMULA_1" localSheetId="2" hidden="1">'Actual vs Budget'!$J$23,'Actual vs Budget'!$J$24,'Actual vs Budget'!$J$25,'Actual vs Budget'!$J$26,'Actual vs Budget'!$F$27,'Actual vs Budget'!$H$27,'Actual vs Budget'!$J$27,'Actual vs Budget'!$F$28,'Actual vs Budget'!$H$28,'Actual vs Budget'!$J$28,'Actual vs Budget'!$J$31,'Actual vs Budget'!$J$32,'Actual vs Budget'!$J$33,'Actual vs Budget'!$J$35,'Actual vs Budget'!$J$36,'Actual vs Budget'!$J$37</definedName>
    <definedName name="QB_FORMULA_1" localSheetId="0" hidden="1">'Balance Sheet'!$H$20,'Balance Sheet'!$J$20,'Balance Sheet'!$J$23,'Balance Sheet'!$J$24,'Balance Sheet'!$J$25,'Balance Sheet'!$J$27,'Balance Sheet'!$J$28,'Balance Sheet'!$J$29,'Balance Sheet'!$F$30,'Balance Sheet'!$H$30,'Balance Sheet'!$J$30,'Balance Sheet'!$J$32,'Balance Sheet'!$J$34,'Balance Sheet'!$F$35,'Balance Sheet'!$H$35,'Balance Sheet'!$J$35</definedName>
    <definedName name="QB_FORMULA_1" localSheetId="1" hidden="1">'Income Statement'!$J$24,'Income Statement'!$J$25,'Income Statement'!$J$26,'Income Statement'!$F$27,'Income Statement'!$H$27,'Income Statement'!$J$27,'Income Statement'!$F$28,'Income Statement'!$H$28,'Income Statement'!$J$28,'Income Statement'!$J$30,'Income Statement'!$J$31,'Income Statement'!$J$32,'Income Statement'!$J$33,'Income Statement'!$J$34,'Income Statement'!$J$35,'Income Statement'!$J$36</definedName>
    <definedName name="QB_FORMULA_2" localSheetId="2" hidden="1">'Actual vs Budget'!$J$38,'Actual vs Budget'!$J$39,'Actual vs Budget'!$J$40,'Actual vs Budget'!$J$41,'Actual vs Budget'!$J$42,'Actual vs Budget'!$J$43,'Actual vs Budget'!$J$44,'Actual vs Budget'!$J$45,'Actual vs Budget'!$J$46,'Actual vs Budget'!$J$47,'Actual vs Budget'!$J$48,'Actual vs Budget'!$J$49,'Actual vs Budget'!$J$50,'Actual vs Budget'!$J$51,'Actual vs Budget'!$J$52,'Actual vs Budget'!$J$53</definedName>
    <definedName name="QB_FORMULA_2" localSheetId="0" hidden="1">'Balance Sheet'!$F$36,'Balance Sheet'!$H$36,'Balance Sheet'!$J$36,'Balance Sheet'!$J$41,'Balance Sheet'!$F$42,'Balance Sheet'!$H$42,'Balance Sheet'!$J$42,'Balance Sheet'!$J$44,'Balance Sheet'!$F$45,'Balance Sheet'!$H$45,'Balance Sheet'!$J$45,'Balance Sheet'!$J$47,'Balance Sheet'!$J$48,'Balance Sheet'!$J$49,'Balance Sheet'!$J$50,'Balance Sheet'!$J$51</definedName>
    <definedName name="QB_FORMULA_2" localSheetId="1" hidden="1">'Income Statement'!$J$37,'Income Statement'!$J$38,'Income Statement'!$J$39,'Income Statement'!$J$40,'Income Statement'!$J$41,'Income Statement'!$J$42,'Income Statement'!$J$43,'Income Statement'!$J$44,'Income Statement'!$J$45,'Income Statement'!$J$46,'Income Statement'!$J$47,'Income Statement'!$J$48,'Income Statement'!$J$49,'Income Statement'!$J$50,'Income Statement'!$J$51,'Income Statement'!$J$52</definedName>
    <definedName name="QB_FORMULA_3" localSheetId="2" hidden="1">'Actual vs Budget'!$J$54,'Actual vs Budget'!$J$55,'Actual vs Budget'!$J$56,'Actual vs Budget'!$J$57,'Actual vs Budget'!$J$58,'Actual vs Budget'!$J$59,'Actual vs Budget'!$J$60,'Actual vs Budget'!$J$61,'Actual vs Budget'!$J$62,'Actual vs Budget'!$J$63,'Actual vs Budget'!$J$64,'Actual vs Budget'!$J$65,'Actual vs Budget'!$J$66,'Actual vs Budget'!$J$67,'Actual vs Budget'!$J$68,'Actual vs Budget'!$J$69</definedName>
    <definedName name="QB_FORMULA_3" localSheetId="0" hidden="1">'Balance Sheet'!$J$52,'Balance Sheet'!$J$53,'Balance Sheet'!$F$54,'Balance Sheet'!$H$54,'Balance Sheet'!$J$54,'Balance Sheet'!$F$55,'Balance Sheet'!$H$55,'Balance Sheet'!$J$55,'Balance Sheet'!$J$57,'Balance Sheet'!$F$58,'Balance Sheet'!$H$58,'Balance Sheet'!$J$58,'Balance Sheet'!$F$59,'Balance Sheet'!$H$59,'Balance Sheet'!$J$59,'Balance Sheet'!$J$61</definedName>
    <definedName name="QB_FORMULA_3" localSheetId="1" hidden="1">'Income Statement'!$J$53,'Income Statement'!$J$54,'Income Statement'!$J$55,'Income Statement'!$J$56,'Income Statement'!$J$57,'Income Statement'!$J$58,'Income Statement'!$J$59,'Income Statement'!$J$60,'Income Statement'!$J$61,'Income Statement'!$J$62,'Income Statement'!$J$63,'Income Statement'!$J$64,'Income Statement'!$J$65,'Income Statement'!$J$66,'Income Statement'!$J$67,'Income Statement'!$J$68</definedName>
    <definedName name="QB_FORMULA_4" localSheetId="2" hidden="1">'Actual vs Budget'!$J$70,'Actual vs Budget'!$J$71,'Actual vs Budget'!$J$72,'Actual vs Budget'!$J$73,'Actual vs Budget'!$J$74,'Actual vs Budget'!$J$75,'Actual vs Budget'!$J$76,'Actual vs Budget'!$J$77,'Actual vs Budget'!$J$78,'Actual vs Budget'!#REF!,'Actual vs Budget'!$J$79,'Actual vs Budget'!$F$80,'Actual vs Budget'!$H$80,'Actual vs Budget'!$J$80,'Actual vs Budget'!$F$81,'Actual vs Budget'!$H$81</definedName>
    <definedName name="QB_FORMULA_4" localSheetId="0" hidden="1">'Balance Sheet'!$J$62,'Balance Sheet'!$F$63,'Balance Sheet'!$H$63,'Balance Sheet'!$J$63,'Balance Sheet'!$F$64,'Balance Sheet'!$H$64,'Balance Sheet'!$J$64</definedName>
    <definedName name="QB_FORMULA_4" localSheetId="1" hidden="1">'Income Statement'!$J$69,'Income Statement'!$J$70,'Income Statement'!$J$71,'Income Statement'!$J$72,'Income Statement'!$J$73,'Income Statement'!$J$74,'Income Statement'!$J$75,'Income Statement'!$J$76,'Income Statement'!$J$77,'Income Statement'!$J$78,'Income Statement'!$J$79,'Income Statement'!$J$80,'Income Statement'!#REF!,'Income Statement'!$J$81,'Income Statement'!$F$82,'Income Statement'!$H$82</definedName>
    <definedName name="QB_FORMULA_5" localSheetId="2" hidden="1">'Actual vs Budget'!$J$81,'Actual vs Budget'!$J$85,'Actual vs Budget'!$J$86,'Actual vs Budget'!$J$87,'Actual vs Budget'!$J$88,'Actual vs Budget'!$J$89,'Actual vs Budget'!$F$90,'Actual vs Budget'!$H$90,'Actual vs Budget'!$J$90,'Actual vs Budget'!$F$91,'Actual vs Budget'!$H$91,'Actual vs Budget'!$J$91,'Actual vs Budget'!$F$92,'Actual vs Budget'!$H$92,'Actual vs Budget'!$J$92</definedName>
    <definedName name="QB_FORMULA_5" localSheetId="1" hidden="1">'Income Statement'!$J$82,'Income Statement'!$F$83,'Income Statement'!$H$83,'Income Statement'!$J$83,'Income Statement'!$J$86,'Income Statement'!$J$87,'Income Statement'!$J$88,'Income Statement'!$J$89,'Income Statement'!$J$90,'Income Statement'!$J$91,'Income Statement'!$F$92,'Income Statement'!$H$92,'Income Statement'!$J$92,'Income Statement'!$F$93,'Income Statement'!$H$93,'Income Statement'!$J$93</definedName>
    <definedName name="QB_FORMULA_6" localSheetId="1" hidden="1">'Income Statement'!$F$94,'Income Statement'!$H$94,'Income Statement'!$J$94</definedName>
    <definedName name="QB_ROW_1" localSheetId="0" hidden="1">'Balance Sheet'!$A$6</definedName>
    <definedName name="QB_ROW_100240" localSheetId="2" hidden="1">'Actual vs Budget'!$E$26</definedName>
    <definedName name="QB_ROW_100240" localSheetId="1" hidden="1">'Income Statement'!$E$26</definedName>
    <definedName name="QB_ROW_10031" localSheetId="0" hidden="1">'Balance Sheet'!$D$40</definedName>
    <definedName name="QB_ROW_1011" localSheetId="0" hidden="1">'Balance Sheet'!$B$7</definedName>
    <definedName name="QB_ROW_102240" localSheetId="2" hidden="1">'Actual vs Budget'!$E$22</definedName>
    <definedName name="QB_ROW_102240" localSheetId="1" hidden="1">'Income Statement'!$E$22</definedName>
    <definedName name="QB_ROW_10331" localSheetId="0" hidden="1">'Balance Sheet'!$D$42</definedName>
    <definedName name="QB_ROW_105220" localSheetId="0" hidden="1">'Balance Sheet'!$C$32</definedName>
    <definedName name="QB_ROW_105230" localSheetId="3" hidden="1">'Cash Flow'!$D$28</definedName>
    <definedName name="QB_ROW_107230" localSheetId="2" hidden="1">'Actual vs Budget'!$D$88</definedName>
    <definedName name="QB_ROW_107230" localSheetId="1" hidden="1">'Income Statement'!$D$90</definedName>
    <definedName name="QB_ROW_109220" localSheetId="0" hidden="1">'Balance Sheet'!$C$24</definedName>
    <definedName name="QB_ROW_109230" localSheetId="3" hidden="1">'Cash Flow'!#REF!</definedName>
    <definedName name="QB_ROW_110220" localSheetId="0" hidden="1">'Balance Sheet'!$C$25</definedName>
    <definedName name="QB_ROW_110230" localSheetId="3" hidden="1">'Cash Flow'!$D$27</definedName>
    <definedName name="QB_ROW_11031" localSheetId="0" hidden="1">'Balance Sheet'!$D$43</definedName>
    <definedName name="QB_ROW_111220" localSheetId="0" hidden="1">'Balance Sheet'!$C$29</definedName>
    <definedName name="QB_ROW_111240" localSheetId="3" hidden="1">'Cash Flow'!$E$12</definedName>
    <definedName name="QB_ROW_11220" localSheetId="0" hidden="1">'Balance Sheet'!$C$23</definedName>
    <definedName name="QB_ROW_112220" localSheetId="0" hidden="1">'Balance Sheet'!$C$28</definedName>
    <definedName name="QB_ROW_112240" localSheetId="3" hidden="1">'Cash Flow'!$E$13</definedName>
    <definedName name="QB_ROW_11230" localSheetId="3" hidden="1">'Cash Flow'!$D$26</definedName>
    <definedName name="QB_ROW_11331" localSheetId="0" hidden="1">'Balance Sheet'!$D$45</definedName>
    <definedName name="QB_ROW_120240" localSheetId="3" hidden="1">'Cash Flow'!$E$19</definedName>
    <definedName name="QB_ROW_12031" localSheetId="0" hidden="1">'Balance Sheet'!$D$46</definedName>
    <definedName name="QB_ROW_120340" localSheetId="0" hidden="1">'Balance Sheet'!$E$49</definedName>
    <definedName name="QB_ROW_121230" localSheetId="2" hidden="1">'Actual vs Budget'!$D$87</definedName>
    <definedName name="QB_ROW_121230" localSheetId="1" hidden="1">'Income Statement'!$D$89</definedName>
    <definedName name="QB_ROW_12331" localSheetId="0" hidden="1">'Balance Sheet'!$D$54</definedName>
    <definedName name="QB_ROW_128240" localSheetId="2" hidden="1">'Actual vs Budget'!$E$12</definedName>
    <definedName name="QB_ROW_128240" localSheetId="1" hidden="1">'Income Statement'!$E$12</definedName>
    <definedName name="QB_ROW_129240" localSheetId="2" hidden="1">'Actual vs Budget'!$E$14</definedName>
    <definedName name="QB_ROW_129240" localSheetId="1" hidden="1">'Income Statement'!$E$14</definedName>
    <definedName name="QB_ROW_13021" localSheetId="0" hidden="1">'Balance Sheet'!$C$56</definedName>
    <definedName name="QB_ROW_1311" localSheetId="0" hidden="1">'Balance Sheet'!$B$20</definedName>
    <definedName name="QB_ROW_13220" localSheetId="0" hidden="1">'Balance Sheet'!$C$27</definedName>
    <definedName name="QB_ROW_13240" localSheetId="3" hidden="1">'Cash Flow'!$E$14</definedName>
    <definedName name="QB_ROW_13321" localSheetId="0" hidden="1">'Balance Sheet'!$C$58</definedName>
    <definedName name="QB_ROW_135240" localSheetId="2" hidden="1">'Actual vs Budget'!$E$69</definedName>
    <definedName name="QB_ROW_135240" localSheetId="1" hidden="1">'Income Statement'!$E$71</definedName>
    <definedName name="QB_ROW_14011" localSheetId="0" hidden="1">'Balance Sheet'!$B$60</definedName>
    <definedName name="QB_ROW_141240" localSheetId="0" hidden="1">'Balance Sheet'!$E$48</definedName>
    <definedName name="QB_ROW_141240" localSheetId="3" hidden="1">'Cash Flow'!$E$20</definedName>
    <definedName name="QB_ROW_14311" localSheetId="0" hidden="1">'Balance Sheet'!$B$63</definedName>
    <definedName name="QB_ROW_143230" localSheetId="0" hidden="1">'Balance Sheet'!$D$14</definedName>
    <definedName name="QB_ROW_143240" localSheetId="3" hidden="1">'Cash Flow'!$E$9</definedName>
    <definedName name="QB_ROW_16240" localSheetId="0" hidden="1">'Balance Sheet'!$E$41</definedName>
    <definedName name="QB_ROW_16240" localSheetId="3" hidden="1">'Cash Flow'!$E$16</definedName>
    <definedName name="QB_ROW_17221" localSheetId="0" hidden="1">'Balance Sheet'!$C$62</definedName>
    <definedName name="QB_ROW_17231" localSheetId="3" hidden="1">'Cash Flow'!$D$6</definedName>
    <definedName name="QB_ROW_18240" localSheetId="0" hidden="1">'Balance Sheet'!$E$47</definedName>
    <definedName name="QB_ROW_18240" localSheetId="3" hidden="1">'Cash Flow'!$E$21</definedName>
    <definedName name="QB_ROW_18301" localSheetId="2" hidden="1">'Actual vs Budget'!$A$92</definedName>
    <definedName name="QB_ROW_18301" localSheetId="1" hidden="1">'Income Statement'!$A$94</definedName>
    <definedName name="QB_ROW_19011" localSheetId="2" hidden="1">'Actual vs Budget'!$B$6</definedName>
    <definedName name="QB_ROW_19011" localSheetId="1" hidden="1">'Income Statement'!$B$6</definedName>
    <definedName name="QB_ROW_19311" localSheetId="2" hidden="1">'Actual vs Budget'!$B$81</definedName>
    <definedName name="QB_ROW_19311" localSheetId="1" hidden="1">'Income Statement'!$B$83</definedName>
    <definedName name="QB_ROW_194230" localSheetId="0" hidden="1">'Balance Sheet'!$D$57</definedName>
    <definedName name="QB_ROW_194230" localSheetId="3" hidden="1">'Cash Flow'!$D$32</definedName>
    <definedName name="QB_ROW_196240" localSheetId="2" hidden="1">'Actual vs Budget'!$E$74</definedName>
    <definedName name="QB_ROW_196240" localSheetId="1" hidden="1">'Income Statement'!$E$76</definedName>
    <definedName name="QB_ROW_20031" localSheetId="2" hidden="1">'Actual vs Budget'!$D$7</definedName>
    <definedName name="QB_ROW_20031" localSheetId="1" hidden="1">'Income Statement'!$D$7</definedName>
    <definedName name="QB_ROW_2021" localSheetId="0" hidden="1">'Balance Sheet'!$C$8</definedName>
    <definedName name="QB_ROW_20331" localSheetId="2" hidden="1">'Actual vs Budget'!$D$27</definedName>
    <definedName name="QB_ROW_20331" localSheetId="1" hidden="1">'Income Statement'!$D$27</definedName>
    <definedName name="QB_ROW_207240" localSheetId="2" hidden="1">'Actual vs Budget'!$E$23</definedName>
    <definedName name="QB_ROW_207240" localSheetId="1" hidden="1">'Income Statement'!$E$23</definedName>
    <definedName name="QB_ROW_21031" localSheetId="2" hidden="1">'Actual vs Budget'!$D$29</definedName>
    <definedName name="QB_ROW_21031" localSheetId="1" hidden="1">'Income Statement'!$D$29</definedName>
    <definedName name="QB_ROW_21331" localSheetId="2" hidden="1">'Actual vs Budget'!$D$80</definedName>
    <definedName name="QB_ROW_21331" localSheetId="1" hidden="1">'Income Statement'!$D$82</definedName>
    <definedName name="QB_ROW_218230" localSheetId="2" hidden="1">'Actual vs Budget'!$D$89</definedName>
    <definedName name="QB_ROW_218230" localSheetId="1" hidden="1">'Income Statement'!$D$91</definedName>
    <definedName name="QB_ROW_22011" localSheetId="2" hidden="1">'Actual vs Budget'!$B$82</definedName>
    <definedName name="QB_ROW_22011" localSheetId="1" hidden="1">'Income Statement'!$B$84</definedName>
    <definedName name="QB_ROW_22311" localSheetId="2" hidden="1">'Actual vs Budget'!$B$91</definedName>
    <definedName name="QB_ROW_22311" localSheetId="1" hidden="1">'Income Statement'!$B$93</definedName>
    <definedName name="QB_ROW_224240" localSheetId="2" hidden="1">'Actual vs Budget'!$E$34</definedName>
    <definedName name="QB_ROW_224240" localSheetId="1" hidden="1">'Income Statement'!$E$34</definedName>
    <definedName name="QB_ROW_227240" localSheetId="2" hidden="1">'Actual vs Budget'!$E$42</definedName>
    <definedName name="QB_ROW_227240" localSheetId="1" hidden="1">'Income Statement'!$E$43</definedName>
    <definedName name="QB_ROW_23021" localSheetId="2" hidden="1">'Actual vs Budget'!$C$83</definedName>
    <definedName name="QB_ROW_23021" localSheetId="1" hidden="1">'Income Statement'!$C$85</definedName>
    <definedName name="QB_ROW_2321" localSheetId="0" hidden="1">'Balance Sheet'!$C$12</definedName>
    <definedName name="QB_ROW_23321" localSheetId="2" hidden="1">'Actual vs Budget'!$C$90</definedName>
    <definedName name="QB_ROW_23321" localSheetId="1" hidden="1">'Income Statement'!$C$92</definedName>
    <definedName name="QB_ROW_233240" localSheetId="0" hidden="1">'Balance Sheet'!$E$50</definedName>
    <definedName name="QB_ROW_233240" localSheetId="3" hidden="1">'Cash Flow'!$E$18</definedName>
    <definedName name="QB_ROW_234240" localSheetId="2" hidden="1">'Actual vs Budget'!$E$77</definedName>
    <definedName name="QB_ROW_234240" localSheetId="1" hidden="1">'Income Statement'!$E$79</definedName>
    <definedName name="QB_ROW_235240" localSheetId="2" hidden="1">'Actual vs Budget'!$E$79</definedName>
    <definedName name="QB_ROW_235240" localSheetId="1" hidden="1">'Income Statement'!$E$81</definedName>
    <definedName name="QB_ROW_237240" localSheetId="2" hidden="1">'Actual vs Budget'!$E$53</definedName>
    <definedName name="QB_ROW_237240" localSheetId="1" hidden="1">'Income Statement'!$E$55</definedName>
    <definedName name="QB_ROW_246230" localSheetId="2" hidden="1">'Actual vs Budget'!$D$85</definedName>
    <definedName name="QB_ROW_246230" localSheetId="1" hidden="1">'Income Statement'!$D$87</definedName>
    <definedName name="QB_ROW_253240" localSheetId="2" hidden="1">'Actual vs Budget'!#REF!</definedName>
    <definedName name="QB_ROW_255240" localSheetId="2" hidden="1">'Actual vs Budget'!$E$59</definedName>
    <definedName name="QB_ROW_255240" localSheetId="1" hidden="1">'Income Statement'!$E$61</definedName>
    <definedName name="QB_ROW_256240" localSheetId="2" hidden="1">'Actual vs Budget'!$E$17</definedName>
    <definedName name="QB_ROW_256240" localSheetId="1" hidden="1">'Income Statement'!$E$18</definedName>
    <definedName name="QB_ROW_258240" localSheetId="2" hidden="1">'Actual vs Budget'!$E$25</definedName>
    <definedName name="QB_ROW_258240" localSheetId="1" hidden="1">'Income Statement'!$E$25</definedName>
    <definedName name="QB_ROW_26240" localSheetId="2" hidden="1">'Actual vs Budget'!$E$8</definedName>
    <definedName name="QB_ROW_26240" localSheetId="1" hidden="1">'Income Statement'!$E$8</definedName>
    <definedName name="QB_ROW_265240" localSheetId="2" hidden="1">'Actual vs Budget'!$E$60</definedName>
    <definedName name="QB_ROW_265240" localSheetId="1" hidden="1">'Income Statement'!$E$62</definedName>
    <definedName name="QB_ROW_270230" localSheetId="0" hidden="1">'Balance Sheet'!$D$11</definedName>
    <definedName name="QB_ROW_27240" localSheetId="2" hidden="1">'Actual vs Budget'!$E$51</definedName>
    <definedName name="QB_ROW_27240" localSheetId="1" hidden="1">'Income Statement'!$E$53</definedName>
    <definedName name="QB_ROW_282240" localSheetId="0" hidden="1">'Balance Sheet'!$E$44</definedName>
    <definedName name="QB_ROW_282240" localSheetId="3" hidden="1">'Cash Flow'!$E$17</definedName>
    <definedName name="QB_ROW_28240" localSheetId="2" hidden="1">'Actual vs Budget'!$E$73</definedName>
    <definedName name="QB_ROW_28240" localSheetId="1" hidden="1">'Income Statement'!$E$75</definedName>
    <definedName name="QB_ROW_29240" localSheetId="2" hidden="1">'Actual vs Budget'!$E$31</definedName>
    <definedName name="QB_ROW_29240" localSheetId="1" hidden="1">'Income Statement'!$E$31</definedName>
    <definedName name="QB_ROW_301" localSheetId="0" hidden="1">'Balance Sheet'!$A$36</definedName>
    <definedName name="QB_ROW_3021" localSheetId="0" hidden="1">'Balance Sheet'!$C$13</definedName>
    <definedName name="QB_ROW_302340" localSheetId="2" hidden="1">'Actual vs Budget'!$E$20</definedName>
    <definedName name="QB_ROW_302340" localSheetId="1" hidden="1">'Income Statement'!$E$20</definedName>
    <definedName name="QB_ROW_30240" localSheetId="2" hidden="1">'Actual vs Budget'!#REF!</definedName>
    <definedName name="QB_ROW_30240" localSheetId="1" hidden="1">'Income Statement'!#REF!</definedName>
    <definedName name="QB_ROW_310230" localSheetId="0" hidden="1">'Balance Sheet'!$D$9</definedName>
    <definedName name="QB_ROW_317240" localSheetId="2" hidden="1">'Actual vs Budget'!$E$40</definedName>
    <definedName name="QB_ROW_317240" localSheetId="1" hidden="1">'Income Statement'!$E$41</definedName>
    <definedName name="QB_ROW_318240" localSheetId="1" hidden="1">'Income Statement'!$E$17</definedName>
    <definedName name="QB_ROW_319240" localSheetId="1" hidden="1">'Income Statement'!$E$36</definedName>
    <definedName name="QB_ROW_320240" localSheetId="0" hidden="1">'Balance Sheet'!$E$52</definedName>
    <definedName name="QB_ROW_320240" localSheetId="3" hidden="1">'Cash Flow'!$E$23</definedName>
    <definedName name="QB_ROW_321240" localSheetId="2" hidden="1">'Actual vs Budget'!$E$75</definedName>
    <definedName name="QB_ROW_321240" localSheetId="1" hidden="1">'Income Statement'!$E$77</definedName>
    <definedName name="QB_ROW_32240" localSheetId="2" hidden="1">'Actual vs Budget'!$E$72</definedName>
    <definedName name="QB_ROW_32240" localSheetId="1" hidden="1">'Income Statement'!$E$74</definedName>
    <definedName name="QB_ROW_323240" localSheetId="2" hidden="1">'Actual vs Budget'!$E$76</definedName>
    <definedName name="QB_ROW_323240" localSheetId="1" hidden="1">'Income Statement'!$E$78</definedName>
    <definedName name="QB_ROW_3240" localSheetId="2" hidden="1">'Actual vs Budget'!$E$52</definedName>
    <definedName name="QB_ROW_3240" localSheetId="1" hidden="1">'Income Statement'!$E$54</definedName>
    <definedName name="QB_ROW_325240" localSheetId="2" hidden="1">'Actual vs Budget'!$E$18</definedName>
    <definedName name="QB_ROW_326240" localSheetId="2" hidden="1">'Actual vs Budget'!$E$37</definedName>
    <definedName name="QB_ROW_326240" localSheetId="1" hidden="1">'Income Statement'!$E$38</definedName>
    <definedName name="QB_ROW_327240" localSheetId="2" hidden="1">'Actual vs Budget'!$E$67</definedName>
    <definedName name="QB_ROW_327240" localSheetId="1" hidden="1">'Income Statement'!$E$69</definedName>
    <definedName name="QB_ROW_328240" localSheetId="2" hidden="1">'Actual vs Budget'!$E$58</definedName>
    <definedName name="QB_ROW_328240" localSheetId="1" hidden="1">'Income Statement'!$E$60</definedName>
    <definedName name="QB_ROW_330240" localSheetId="2" hidden="1">'Actual vs Budget'!$E$36</definedName>
    <definedName name="QB_ROW_330240" localSheetId="1" hidden="1">'Income Statement'!$E$37</definedName>
    <definedName name="QB_ROW_331240" localSheetId="2" hidden="1">'Actual vs Budget'!$E$9</definedName>
    <definedName name="QB_ROW_331240" localSheetId="1" hidden="1">'Income Statement'!$E$9</definedName>
    <definedName name="QB_ROW_3321" localSheetId="0" hidden="1">'Balance Sheet'!$C$16</definedName>
    <definedName name="QB_ROW_332230" localSheetId="0" hidden="1">'Balance Sheet'!$D$10</definedName>
    <definedName name="QB_ROW_33240" localSheetId="2" hidden="1">'Actual vs Budget'!$E$47</definedName>
    <definedName name="QB_ROW_33240" localSheetId="1" hidden="1">'Income Statement'!$E$48</definedName>
    <definedName name="QB_ROW_333240" localSheetId="1" hidden="1">'Income Statement'!$E$49</definedName>
    <definedName name="QB_ROW_336240" localSheetId="2" hidden="1">'Actual vs Budget'!$E$16</definedName>
    <definedName name="QB_ROW_336240" localSheetId="1" hidden="1">'Income Statement'!$E$16</definedName>
    <definedName name="QB_ROW_337240" localSheetId="2" hidden="1">'Actual vs Budget'!$E$35</definedName>
    <definedName name="QB_ROW_337240" localSheetId="1" hidden="1">'Income Statement'!$E$35</definedName>
    <definedName name="QB_ROW_338240" localSheetId="2" hidden="1">'Actual vs Budget'!$E$19</definedName>
    <definedName name="QB_ROW_338240" localSheetId="1" hidden="1">'Income Statement'!$E$19</definedName>
    <definedName name="QB_ROW_339240" localSheetId="2" hidden="1">'Actual vs Budget'!$E$38</definedName>
    <definedName name="QB_ROW_339240" localSheetId="1" hidden="1">'Income Statement'!$E$39</definedName>
    <definedName name="QB_ROW_340230" localSheetId="0" hidden="1">'Balance Sheet'!$D$15</definedName>
    <definedName name="QB_ROW_340240" localSheetId="3" hidden="1">'Cash Flow'!$E$10</definedName>
    <definedName name="QB_ROW_34240" localSheetId="2" hidden="1">'Actual vs Budget'!$E$10</definedName>
    <definedName name="QB_ROW_34240" localSheetId="1" hidden="1">'Income Statement'!$E$10</definedName>
    <definedName name="QB_ROW_345220" localSheetId="0" hidden="1">'Balance Sheet'!$C$61</definedName>
    <definedName name="QB_ROW_346240" localSheetId="2" hidden="1">'Actual vs Budget'!$E$57</definedName>
    <definedName name="QB_ROW_346240" localSheetId="1" hidden="1">'Income Statement'!$E$59</definedName>
    <definedName name="QB_ROW_347240" localSheetId="2" hidden="1">'Actual vs Budget'!$E$65</definedName>
    <definedName name="QB_ROW_347240" localSheetId="1" hidden="1">'Income Statement'!$E$67</definedName>
    <definedName name="QB_ROW_348240" localSheetId="2" hidden="1">'Actual vs Budget'!$E$68</definedName>
    <definedName name="QB_ROW_348240" localSheetId="1" hidden="1">'Income Statement'!$E$70</definedName>
    <definedName name="QB_ROW_349240" localSheetId="2" hidden="1">'Actual vs Budget'!$E$66</definedName>
    <definedName name="QB_ROW_349240" localSheetId="1" hidden="1">'Income Statement'!$E$68</definedName>
    <definedName name="QB_ROW_350240" localSheetId="2" hidden="1">'Actual vs Budget'!$E$30</definedName>
    <definedName name="QB_ROW_350240" localSheetId="1" hidden="1">'Income Statement'!$E$30</definedName>
    <definedName name="QB_ROW_35240" localSheetId="2" hidden="1">'Actual vs Budget'!$E$56</definedName>
    <definedName name="QB_ROW_35240" localSheetId="1" hidden="1">'Income Statement'!$E$58</definedName>
    <definedName name="QB_ROW_353220" localSheetId="0" hidden="1">'Balance Sheet'!$C$34</definedName>
    <definedName name="QB_ROW_353230" localSheetId="3" hidden="1">'Cash Flow'!#REF!</definedName>
    <definedName name="QB_ROW_36240" localSheetId="2" hidden="1">'Actual vs Budget'!$E$55</definedName>
    <definedName name="QB_ROW_36240" localSheetId="1" hidden="1">'Income Statement'!$E$57</definedName>
    <definedName name="QB_ROW_37240" localSheetId="2" hidden="1">'Actual vs Budget'!$E$43</definedName>
    <definedName name="QB_ROW_37240" localSheetId="1" hidden="1">'Income Statement'!$E$44</definedName>
    <definedName name="QB_ROW_38240" localSheetId="2" hidden="1">'Actual vs Budget'!$E$71</definedName>
    <definedName name="QB_ROW_38240" localSheetId="1" hidden="1">'Income Statement'!$E$73</definedName>
    <definedName name="QB_ROW_4021" localSheetId="0" hidden="1">'Balance Sheet'!$C$17</definedName>
    <definedName name="QB_ROW_41240" localSheetId="2" hidden="1">'Actual vs Budget'!$E$54</definedName>
    <definedName name="QB_ROW_41240" localSheetId="1" hidden="1">'Income Statement'!$E$56</definedName>
    <definedName name="QB_ROW_42240" localSheetId="2" hidden="1">'Actual vs Budget'!$E$50</definedName>
    <definedName name="QB_ROW_42240" localSheetId="1" hidden="1">'Income Statement'!$E$52</definedName>
    <definedName name="QB_ROW_4321" localSheetId="0" hidden="1">'Balance Sheet'!$C$19</definedName>
    <definedName name="QB_ROW_43240" localSheetId="2" hidden="1">'Actual vs Budget'!$E$11</definedName>
    <definedName name="QB_ROW_43240" localSheetId="1" hidden="1">'Income Statement'!$E$11</definedName>
    <definedName name="QB_ROW_45240" localSheetId="2" hidden="1">'Actual vs Budget'!$E$24</definedName>
    <definedName name="QB_ROW_45240" localSheetId="1" hidden="1">'Income Statement'!$E$24</definedName>
    <definedName name="QB_ROW_47240" localSheetId="2" hidden="1">'Actual vs Budget'!$E$13</definedName>
    <definedName name="QB_ROW_47240" localSheetId="1" hidden="1">'Income Statement'!$E$13</definedName>
    <definedName name="QB_ROW_48240" localSheetId="2" hidden="1">'Actual vs Budget'!$E$39</definedName>
    <definedName name="QB_ROW_48240" localSheetId="1" hidden="1">'Income Statement'!$E$40</definedName>
    <definedName name="QB_ROW_49230" localSheetId="2" hidden="1">'Actual vs Budget'!$D$86</definedName>
    <definedName name="QB_ROW_49230" localSheetId="1" hidden="1">'Income Statement'!$D$88</definedName>
    <definedName name="QB_ROW_501021" localSheetId="3" hidden="1">'Cash Flow'!$C$5</definedName>
    <definedName name="QB_ROW_5011" localSheetId="0" hidden="1">'Balance Sheet'!$B$21</definedName>
    <definedName name="QB_ROW_501321" localSheetId="3" hidden="1">'Cash Flow'!$C$24</definedName>
    <definedName name="QB_ROW_502021" localSheetId="3" hidden="1">'Cash Flow'!$C$25</definedName>
    <definedName name="QB_ROW_502321" localSheetId="3" hidden="1">'Cash Flow'!$C$29</definedName>
    <definedName name="QB_ROW_503021" localSheetId="3" hidden="1">'Cash Flow'!$C$30</definedName>
    <definedName name="QB_ROW_503321" localSheetId="3" hidden="1">'Cash Flow'!$C$33</definedName>
    <definedName name="QB_ROW_504031" localSheetId="3" hidden="1">'Cash Flow'!$D$7</definedName>
    <definedName name="QB_ROW_505031" localSheetId="3" hidden="1">'Cash Flow'!$D$8</definedName>
    <definedName name="QB_ROW_511301" localSheetId="3" hidden="1">'Cash Flow'!$A$36</definedName>
    <definedName name="QB_ROW_512311" localSheetId="3" hidden="1">'Cash Flow'!$B$34</definedName>
    <definedName name="QB_ROW_51240" localSheetId="2" hidden="1">'Actual vs Budget'!$E$41</definedName>
    <definedName name="QB_ROW_51240" localSheetId="1" hidden="1">'Income Statement'!$E$42</definedName>
    <definedName name="QB_ROW_513211" localSheetId="3" hidden="1">'Cash Flow'!$B$35</definedName>
    <definedName name="QB_ROW_52240" localSheetId="2" hidden="1">'Actual vs Budget'!$E$44</definedName>
    <definedName name="QB_ROW_52240" localSheetId="1" hidden="1">'Income Statement'!$E$45</definedName>
    <definedName name="QB_ROW_5311" localSheetId="0" hidden="1">'Balance Sheet'!$B$30</definedName>
    <definedName name="QB_ROW_57240" localSheetId="2" hidden="1">'Actual vs Budget'!$E$78</definedName>
    <definedName name="QB_ROW_57240" localSheetId="1" hidden="1">'Income Statement'!$E$80</definedName>
    <definedName name="QB_ROW_58240" localSheetId="2" hidden="1">'Actual vs Budget'!$E$32</definedName>
    <definedName name="QB_ROW_58240" localSheetId="1" hidden="1">'Income Statement'!$E$32</definedName>
    <definedName name="QB_ROW_59240" localSheetId="2" hidden="1">'Actual vs Budget'!$E$49</definedName>
    <definedName name="QB_ROW_59240" localSheetId="1" hidden="1">'Income Statement'!$E$51</definedName>
    <definedName name="QB_ROW_6011" localSheetId="0" hidden="1">'Balance Sheet'!$B$31</definedName>
    <definedName name="QB_ROW_60230" localSheetId="2" hidden="1">'Actual vs Budget'!$D$84</definedName>
    <definedName name="QB_ROW_60230" localSheetId="1" hidden="1">'Income Statement'!$D$86</definedName>
    <definedName name="QB_ROW_6311" localSheetId="0" hidden="1">'Balance Sheet'!$B$35</definedName>
    <definedName name="QB_ROW_64240" localSheetId="2" hidden="1">'Actual vs Budget'!$E$64</definedName>
    <definedName name="QB_ROW_64240" localSheetId="1" hidden="1">'Income Statement'!$E$66</definedName>
    <definedName name="QB_ROW_65240" localSheetId="2" hidden="1">'Actual vs Budget'!$E$48</definedName>
    <definedName name="QB_ROW_65240" localSheetId="1" hidden="1">'Income Statement'!$E$50</definedName>
    <definedName name="QB_ROW_67240" localSheetId="2" hidden="1">'Actual vs Budget'!$E$70</definedName>
    <definedName name="QB_ROW_67240" localSheetId="1" hidden="1">'Income Statement'!$E$72</definedName>
    <definedName name="QB_ROW_7001" localSheetId="0" hidden="1">'Balance Sheet'!$A$37</definedName>
    <definedName name="QB_ROW_70240" localSheetId="2" hidden="1">'Actual vs Budget'!$E$46</definedName>
    <definedName name="QB_ROW_70240" localSheetId="1" hidden="1">'Income Statement'!$E$47</definedName>
    <definedName name="QB_ROW_71240" localSheetId="2" hidden="1">'Actual vs Budget'!$E$33</definedName>
    <definedName name="QB_ROW_71240" localSheetId="1" hidden="1">'Income Statement'!$E$33</definedName>
    <definedName name="QB_ROW_72240" localSheetId="2" hidden="1">'Actual vs Budget'!$E$15</definedName>
    <definedName name="QB_ROW_72240" localSheetId="1" hidden="1">'Income Statement'!$E$15</definedName>
    <definedName name="QB_ROW_7301" localSheetId="0" hidden="1">'Balance Sheet'!$A$64</definedName>
    <definedName name="QB_ROW_73240" localSheetId="2" hidden="1">'Actual vs Budget'!$E$63</definedName>
    <definedName name="QB_ROW_73240" localSheetId="1" hidden="1">'Income Statement'!$E$65</definedName>
    <definedName name="QB_ROW_76240" localSheetId="0" hidden="1">'Balance Sheet'!$E$53</definedName>
    <definedName name="QB_ROW_76240" localSheetId="3" hidden="1">'Cash Flow'!$E$22</definedName>
    <definedName name="QB_ROW_8011" localSheetId="0" hidden="1">'Balance Sheet'!$B$38</definedName>
    <definedName name="QB_ROW_81240" localSheetId="2" hidden="1">'Actual vs Budget'!$E$45</definedName>
    <definedName name="QB_ROW_81240" localSheetId="1" hidden="1">'Income Statement'!$E$46</definedName>
    <definedName name="QB_ROW_8240" localSheetId="3" hidden="1">'Cash Flow'!$E$11</definedName>
    <definedName name="QB_ROW_8311" localSheetId="0" hidden="1">'Balance Sheet'!$B$59</definedName>
    <definedName name="QB_ROW_83230" localSheetId="3" hidden="1">'Cash Flow'!$D$31</definedName>
    <definedName name="QB_ROW_83240" localSheetId="0" hidden="1">'Balance Sheet'!$E$51</definedName>
    <definedName name="QB_ROW_8330" localSheetId="0" hidden="1">'Balance Sheet'!$D$18</definedName>
    <definedName name="QB_ROW_86321" localSheetId="2" hidden="1">'Actual vs Budget'!$C$28</definedName>
    <definedName name="QB_ROW_86321" localSheetId="1" hidden="1">'Income Statement'!$C$28</definedName>
    <definedName name="QB_ROW_87240" localSheetId="2" hidden="1">'Actual vs Budget'!$E$61</definedName>
    <definedName name="QB_ROW_87240" localSheetId="1" hidden="1">'Income Statement'!$E$63</definedName>
    <definedName name="QB_ROW_89240" localSheetId="2" hidden="1">'Actual vs Budget'!$E$62</definedName>
    <definedName name="QB_ROW_89240" localSheetId="1" hidden="1">'Income Statement'!$E$64</definedName>
    <definedName name="QB_ROW_9021" localSheetId="0" hidden="1">'Balance Sheet'!$C$39</definedName>
    <definedName name="QB_ROW_9321" localSheetId="0" hidden="1">'Balance Sheet'!$C$55</definedName>
    <definedName name="QB_ROW_99240" localSheetId="2" hidden="1">'Actual vs Budget'!$E$21</definedName>
    <definedName name="QB_ROW_99240" localSheetId="1" hidden="1">'Income Statement'!$E$21</definedName>
    <definedName name="QB_SUBTITLE_3" localSheetId="2" hidden="1">'Actual vs Budget'!$A$3</definedName>
    <definedName name="QB_SUBTITLE_3" localSheetId="0" hidden="1">'Balance Sheet'!$A$3</definedName>
    <definedName name="QB_SUBTITLE_3" localSheetId="3" hidden="1">'Cash Flow'!$A$3</definedName>
    <definedName name="QB_SUBTITLE_3" localSheetId="1" hidden="1">'Income Statement'!$A$3</definedName>
    <definedName name="QB_TITLE_2" localSheetId="2" hidden="1">'Actual vs Budget'!$A$2</definedName>
    <definedName name="QB_TITLE_2" localSheetId="0" hidden="1">'Balance Sheet'!$A$2</definedName>
    <definedName name="QB_TITLE_2" localSheetId="3" hidden="1">'Cash Flow'!$A$2</definedName>
    <definedName name="QB_TITLE_2" localSheetId="1" hidden="1">'Income Statement'!$A$2</definedName>
    <definedName name="QBCANSUPPORTUPDATE" localSheetId="2">TRUE</definedName>
    <definedName name="QBCANSUPPORTUPDATE" localSheetId="0">TRUE</definedName>
    <definedName name="QBCANSUPPORTUPDATE" localSheetId="3">TRUE</definedName>
    <definedName name="QBCANSUPPORTUPDATE" localSheetId="1">TRUE</definedName>
    <definedName name="QBCOMPANYFILENAME" localSheetId="2">"P:\Pthompson\QuickBooks\OPRA.QBW"</definedName>
    <definedName name="QBCOMPANYFILENAME" localSheetId="0">"P:\Pthompson\QuickBooks\OPRA.QBW"</definedName>
    <definedName name="QBCOMPANYFILENAME" localSheetId="3">"P:\Pthompson\QuickBooks\OPRA.QBW"</definedName>
    <definedName name="QBCOMPANYFILENAME" localSheetId="1">"P:\Pthompson\QuickBooks\OPRA.QBW"</definedName>
    <definedName name="QBENDDATE" localSheetId="2">20161231</definedName>
    <definedName name="QBENDDATE" localSheetId="0">20161231</definedName>
    <definedName name="QBENDDATE" localSheetId="3">20161231</definedName>
    <definedName name="QBENDDATE" localSheetId="1">20161231</definedName>
    <definedName name="QBHEADERSONSCREEN" localSheetId="2">TRUE</definedName>
    <definedName name="QBHEADERSONSCREEN" localSheetId="0">TRUE</definedName>
    <definedName name="QBHEADERSONSCREEN" localSheetId="3">TRUE</definedName>
    <definedName name="QBHEADERSONSCREEN" localSheetId="1">TRUE</definedName>
    <definedName name="QBMETADATASIZE" localSheetId="2">5907</definedName>
    <definedName name="QBMETADATASIZE" localSheetId="0">5907</definedName>
    <definedName name="QBMETADATASIZE" localSheetId="3">5907</definedName>
    <definedName name="QBMETADATASIZE" localSheetId="1">5907</definedName>
    <definedName name="QBPRESERVECOLOR" localSheetId="2">TRUE</definedName>
    <definedName name="QBPRESERVECOLOR" localSheetId="0">TRUE</definedName>
    <definedName name="QBPRESERVECOLOR" localSheetId="3">TRUE</definedName>
    <definedName name="QBPRESERVECOLOR" localSheetId="1">TRUE</definedName>
    <definedName name="QBPRESERVEFONT" localSheetId="2">TRUE</definedName>
    <definedName name="QBPRESERVEFONT" localSheetId="0">TRUE</definedName>
    <definedName name="QBPRESERVEFONT" localSheetId="3">TRUE</definedName>
    <definedName name="QBPRESERVEFONT" localSheetId="1">TRUE</definedName>
    <definedName name="QBPRESERVEROWHEIGHT" localSheetId="2">TRUE</definedName>
    <definedName name="QBPRESERVEROWHEIGHT" localSheetId="0">TRUE</definedName>
    <definedName name="QBPRESERVEROWHEIGHT" localSheetId="3">TRUE</definedName>
    <definedName name="QBPRESERVEROWHEIGHT" localSheetId="1">TRUE</definedName>
    <definedName name="QBPRESERVESPACE" localSheetId="2">TRUE</definedName>
    <definedName name="QBPRESERVESPACE" localSheetId="0">TRUE</definedName>
    <definedName name="QBPRESERVESPACE" localSheetId="3">TRUE</definedName>
    <definedName name="QBPRESERVESPACE" localSheetId="1">TRUE</definedName>
    <definedName name="QBREPORTCOLAXIS" localSheetId="2">0</definedName>
    <definedName name="QBREPORTCOLAXIS" localSheetId="0">0</definedName>
    <definedName name="QBREPORTCOLAXIS" localSheetId="3">0</definedName>
    <definedName name="QBREPORTCOLAXIS" localSheetId="1">0</definedName>
    <definedName name="QBREPORTCOMPANYID" localSheetId="2">"11af21cfb05c45138d4b2c79559082c1"</definedName>
    <definedName name="QBREPORTCOMPANYID" localSheetId="0">"11af21cfb05c45138d4b2c79559082c1"</definedName>
    <definedName name="QBREPORTCOMPANYID" localSheetId="3">"11af21cfb05c45138d4b2c79559082c1"</definedName>
    <definedName name="QBREPORTCOMPANYID" localSheetId="1">"11af21cfb05c45138d4b2c79559082c1"</definedName>
    <definedName name="QBREPORTCOMPARECOL_ANNUALBUDGET" localSheetId="2">FALSE</definedName>
    <definedName name="QBREPORTCOMPARECOL_ANNUALBUDGET" localSheetId="0">FALSE</definedName>
    <definedName name="QBREPORTCOMPARECOL_ANNUALBUDGET" localSheetId="3">FALSE</definedName>
    <definedName name="QBREPORTCOMPARECOL_ANNUALBUDGET" localSheetId="1">FALSE</definedName>
    <definedName name="QBREPORTCOMPARECOL_AVGCOGS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1">FALSE</definedName>
    <definedName name="QBREPORTCOMPARECOL_AVGPRICE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1">FALSE</definedName>
    <definedName name="QBREPORTCOMPARECOL_BUDDIFF" localSheetId="2">TRUE</definedName>
    <definedName name="QBREPORTCOMPARECOL_BUDDIFF" localSheetId="0">FALSE</definedName>
    <definedName name="QBREPORTCOMPARECOL_BUDDIFF" localSheetId="3">FALSE</definedName>
    <definedName name="QBREPORTCOMPARECOL_BUDDIFF" localSheetId="1">FALSE</definedName>
    <definedName name="QBREPORTCOMPARECOL_BUDGET" localSheetId="2">TRUE</definedName>
    <definedName name="QBREPORTCOMPARECOL_BUDGET" localSheetId="0">FALSE</definedName>
    <definedName name="QBREPORTCOMPARECOL_BUDGET" localSheetId="3">FALSE</definedName>
    <definedName name="QBREPORTCOMPARECOL_BUDGET" localSheetId="1">FALSE</definedName>
    <definedName name="QBREPORTCOMPARECOL_BUDPCT" localSheetId="2">FALSE</definedName>
    <definedName name="QBREPORTCOMPARECOL_BUDPCT" localSheetId="0">FALSE</definedName>
    <definedName name="QBREPORTCOMPARECOL_BUDPCT" localSheetId="3">FALSE</definedName>
    <definedName name="QBREPORTCOMPARECOL_BUDPCT" localSheetId="1">FALSE</definedName>
    <definedName name="QBREPORTCOMPARECOL_COGS" localSheetId="2">FALSE</definedName>
    <definedName name="QBREPORTCOMPARECOL_COGS" localSheetId="0">FALSE</definedName>
    <definedName name="QBREPORTCOMPARECOL_COGS" localSheetId="3">FALSE</definedName>
    <definedName name="QBREPORTCOMPARECOL_COGS" localSheetId="1">FALSE</definedName>
    <definedName name="QBREPORTCOMPARECOL_EXCLUDEAMOUNT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1">FALSE</definedName>
    <definedName name="QBREPORTCOMPARECOL_GROSSMARGIN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1">FALSE</definedName>
    <definedName name="QBREPORTCOMPARECOL_GROSSMARGINPCT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1">FALSE</definedName>
    <definedName name="QBREPORTCOMPARECOL_HOURS" localSheetId="2">FALSE</definedName>
    <definedName name="QBREPORTCOMPARECOL_HOURS" localSheetId="0">FALSE</definedName>
    <definedName name="QBREPORTCOMPARECOL_HOURS" localSheetId="3">FALSE</definedName>
    <definedName name="QBREPORTCOMPARECOL_HOURS" localSheetId="1">FALSE</definedName>
    <definedName name="QBREPORTCOMPARECOL_PCTCOL" localSheetId="2">FALSE</definedName>
    <definedName name="QBREPORTCOMPARECOL_PCTCOL" localSheetId="0">FALSE</definedName>
    <definedName name="QBREPORTCOMPARECOL_PCTCOL" localSheetId="3">FALSE</definedName>
    <definedName name="QBREPORTCOMPARECOL_PCTCOL" localSheetId="1">FALSE</definedName>
    <definedName name="QBREPORTCOMPARECOL_PCTEXPENSE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1">FALSE</definedName>
    <definedName name="QBREPORTCOMPARECOL_PCTINCOM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1">FALSE</definedName>
    <definedName name="QBREPORTCOMPARECOL_PCTOFSALES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1">FALSE</definedName>
    <definedName name="QBREPORTCOMPARECOL_PCTROW" localSheetId="2">FALSE</definedName>
    <definedName name="QBREPORTCOMPARECOL_PCTROW" localSheetId="0">FALSE</definedName>
    <definedName name="QBREPORTCOMPARECOL_PCTROW" localSheetId="3">FALSE</definedName>
    <definedName name="QBREPORTCOMPARECOL_PCTROW" localSheetId="1">FALSE</definedName>
    <definedName name="QBREPORTCOMPARECOL_PPDIFF" localSheetId="2">FALSE</definedName>
    <definedName name="QBREPORTCOMPARECOL_PPDIFF" localSheetId="0">FALSE</definedName>
    <definedName name="QBREPORTCOMPARECOL_PPDIFF" localSheetId="3">FALSE</definedName>
    <definedName name="QBREPORTCOMPARECOL_PPDIFF" localSheetId="1">FALSE</definedName>
    <definedName name="QBREPORTCOMPARECOL_PPPCT" localSheetId="2">FALSE</definedName>
    <definedName name="QBREPORTCOMPARECOL_PPPCT" localSheetId="0">FALSE</definedName>
    <definedName name="QBREPORTCOMPARECOL_PPPCT" localSheetId="3">FALSE</definedName>
    <definedName name="QBREPORTCOMPARECOL_PPPCT" localSheetId="1">FALSE</definedName>
    <definedName name="QBREPORTCOMPARECOL_PREVPERIOD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1">FALSE</definedName>
    <definedName name="QBREPORTCOMPARECOL_PREVYEAR" localSheetId="2">FALSE</definedName>
    <definedName name="QBREPORTCOMPARECOL_PREVYEAR" localSheetId="0">TRUE</definedName>
    <definedName name="QBREPORTCOMPARECOL_PREVYEAR" localSheetId="3">FALSE</definedName>
    <definedName name="QBREPORTCOMPARECOL_PREVYEAR" localSheetId="1">TRUE</definedName>
    <definedName name="QBREPORTCOMPARECOL_PYDIFF" localSheetId="2">FALSE</definedName>
    <definedName name="QBREPORTCOMPARECOL_PYDIFF" localSheetId="0">TRUE</definedName>
    <definedName name="QBREPORTCOMPARECOL_PYDIFF" localSheetId="3">FALSE</definedName>
    <definedName name="QBREPORTCOMPARECOL_PYDIFF" localSheetId="1">TRUE</definedName>
    <definedName name="QBREPORTCOMPARECOL_PYPCT" localSheetId="2">FALSE</definedName>
    <definedName name="QBREPORTCOMPARECOL_PYPCT" localSheetId="0">FALSE</definedName>
    <definedName name="QBREPORTCOMPARECOL_PYPCT" localSheetId="3">FALSE</definedName>
    <definedName name="QBREPORTCOMPARECOL_PYPCT" localSheetId="1">FALSE</definedName>
    <definedName name="QBREPORTCOMPARECOL_QTY" localSheetId="2">FALSE</definedName>
    <definedName name="QBREPORTCOMPARECOL_QTY" localSheetId="0">FALSE</definedName>
    <definedName name="QBREPORTCOMPARECOL_QTY" localSheetId="3">FALSE</definedName>
    <definedName name="QBREPORTCOMPARECOL_QTY" localSheetId="1">FALSE</definedName>
    <definedName name="QBREPORTCOMPARECOL_RATE" localSheetId="2">FALSE</definedName>
    <definedName name="QBREPORTCOMPARECOL_RATE" localSheetId="0">FALSE</definedName>
    <definedName name="QBREPORTCOMPARECOL_RATE" localSheetId="3">FALSE</definedName>
    <definedName name="QBREPORTCOMPARECOL_RATE" localSheetId="1">FALSE</definedName>
    <definedName name="QBREPORTCOMPARECOL_TRIPBILLEDMILES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1">FALSE</definedName>
    <definedName name="QBREPORTCOMPARECOL_YTD" localSheetId="2">FALSE</definedName>
    <definedName name="QBREPORTCOMPARECOL_YTD" localSheetId="0">FALSE</definedName>
    <definedName name="QBREPORTCOMPARECOL_YTD" localSheetId="3">FALSE</definedName>
    <definedName name="QBREPORTCOMPARECOL_YTD" localSheetId="1">FALSE</definedName>
    <definedName name="QBREPORTCOMPARECOL_YTDBUDGET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1">FALSE</definedName>
    <definedName name="QBREPORTCOMPARECOL_YTDPCT" localSheetId="2">FALSE</definedName>
    <definedName name="QBREPORTCOMPARECOL_YTDPCT" localSheetId="0">FALSE</definedName>
    <definedName name="QBREPORTCOMPARECOL_YTDPCT" localSheetId="3">FALSE</definedName>
    <definedName name="QBREPORTCOMPARECOL_YTDPCT" localSheetId="1">FALSE</definedName>
    <definedName name="QBREPORTROWAXIS" localSheetId="2">11</definedName>
    <definedName name="QBREPORTROWAXIS" localSheetId="0">9</definedName>
    <definedName name="QBREPORTROWAXIS" localSheetId="3">77</definedName>
    <definedName name="QBREPORTROWAXIS" localSheetId="1">11</definedName>
    <definedName name="QBREPORTSUBCOLAXIS" localSheetId="2">24</definedName>
    <definedName name="QBREPORTSUBCOLAXIS" localSheetId="0">24</definedName>
    <definedName name="QBREPORTSUBCOLAXIS" localSheetId="3">0</definedName>
    <definedName name="QBREPORTSUBCOLAXIS" localSheetId="1">24</definedName>
    <definedName name="QBREPORTTYPE" localSheetId="2">288</definedName>
    <definedName name="QBREPORTTYPE" localSheetId="0">5</definedName>
    <definedName name="QBREPORTTYPE" localSheetId="3">238</definedName>
    <definedName name="QBREPORTTYPE" localSheetId="1">0</definedName>
    <definedName name="QBROWHEADERS" localSheetId="2">5</definedName>
    <definedName name="QBROWHEADERS" localSheetId="0">5</definedName>
    <definedName name="QBROWHEADERS" localSheetId="3">5</definedName>
    <definedName name="QBROWHEADERS" localSheetId="1">5</definedName>
    <definedName name="QBSTARTDATE" localSheetId="2">20160101</definedName>
    <definedName name="QBSTARTDATE" localSheetId="0">20161201</definedName>
    <definedName name="QBSTARTDATE" localSheetId="3">20160101</definedName>
    <definedName name="QBSTARTDATE" localSheetId="1">20160101</definedName>
  </definedNames>
  <calcPr calcId="152511"/>
</workbook>
</file>

<file path=xl/calcChain.xml><?xml version="1.0" encoding="utf-8"?>
<calcChain xmlns="http://schemas.openxmlformats.org/spreadsheetml/2006/main">
  <c r="F6" i="144" l="1"/>
  <c r="F62" i="141"/>
  <c r="F16" i="144" l="1"/>
  <c r="F12" i="144"/>
  <c r="F27" i="144"/>
  <c r="F13" i="144"/>
  <c r="F14" i="144"/>
  <c r="F26" i="144"/>
  <c r="F35" i="144"/>
  <c r="F78" i="143"/>
  <c r="H80" i="142"/>
  <c r="F80" i="142"/>
  <c r="H62" i="141"/>
  <c r="H61" i="141"/>
  <c r="F61" i="141"/>
  <c r="J26" i="141"/>
  <c r="J22" i="141"/>
  <c r="H9" i="141"/>
  <c r="F9" i="141"/>
  <c r="F28" i="144"/>
  <c r="F49" i="143"/>
  <c r="H91" i="142"/>
  <c r="H90" i="142"/>
  <c r="H89" i="142"/>
  <c r="H88" i="142"/>
  <c r="F91" i="142"/>
  <c r="F90" i="142"/>
  <c r="F89" i="142"/>
  <c r="F88" i="142"/>
  <c r="H64" i="142"/>
  <c r="F64" i="142"/>
  <c r="H51" i="142"/>
  <c r="F51" i="142"/>
  <c r="H48" i="142"/>
  <c r="H35" i="142"/>
  <c r="J33" i="141"/>
  <c r="F33" i="144" l="1"/>
  <c r="F29" i="144"/>
  <c r="F24" i="144"/>
  <c r="F34" i="144" l="1"/>
  <c r="F36" i="144" s="1"/>
  <c r="F38" i="144" s="1"/>
  <c r="H91" i="143"/>
  <c r="H90" i="143"/>
  <c r="F90" i="143"/>
  <c r="F91" i="143" s="1"/>
  <c r="J89" i="143"/>
  <c r="J88" i="143"/>
  <c r="J87" i="143"/>
  <c r="J86" i="143"/>
  <c r="J85" i="143"/>
  <c r="H80" i="143"/>
  <c r="F80" i="143"/>
  <c r="J79" i="143"/>
  <c r="J78" i="143"/>
  <c r="J77" i="143"/>
  <c r="J76" i="143"/>
  <c r="J75" i="143"/>
  <c r="J74" i="143"/>
  <c r="J73" i="143"/>
  <c r="J72" i="143"/>
  <c r="J71" i="143"/>
  <c r="J70" i="143"/>
  <c r="J69" i="143"/>
  <c r="J68" i="143"/>
  <c r="J67" i="143"/>
  <c r="J66" i="143"/>
  <c r="J65" i="143"/>
  <c r="J64" i="143"/>
  <c r="J63" i="143"/>
  <c r="J62" i="143"/>
  <c r="J61" i="143"/>
  <c r="J60" i="143"/>
  <c r="J59" i="143"/>
  <c r="J58" i="143"/>
  <c r="J57" i="143"/>
  <c r="J56" i="143"/>
  <c r="J55" i="143"/>
  <c r="J54" i="143"/>
  <c r="J53" i="143"/>
  <c r="J52" i="143"/>
  <c r="J51" i="143"/>
  <c r="J50" i="143"/>
  <c r="J49" i="143"/>
  <c r="J48" i="143"/>
  <c r="J47" i="143"/>
  <c r="J46" i="143"/>
  <c r="J45" i="143"/>
  <c r="J44" i="143"/>
  <c r="J43" i="143"/>
  <c r="J42" i="143"/>
  <c r="J41" i="143"/>
  <c r="J40" i="143"/>
  <c r="J39" i="143"/>
  <c r="J38" i="143"/>
  <c r="J37" i="143"/>
  <c r="J36" i="143"/>
  <c r="J35" i="143"/>
  <c r="J33" i="143"/>
  <c r="J32" i="143"/>
  <c r="J31" i="143"/>
  <c r="H27" i="143"/>
  <c r="H28" i="143" s="1"/>
  <c r="F27" i="143"/>
  <c r="F28" i="143" s="1"/>
  <c r="J28" i="143" s="1"/>
  <c r="J26" i="143"/>
  <c r="J25" i="143"/>
  <c r="J24" i="143"/>
  <c r="J23" i="143"/>
  <c r="J22" i="143"/>
  <c r="J21" i="143"/>
  <c r="J20" i="143"/>
  <c r="J19" i="143"/>
  <c r="J18" i="143"/>
  <c r="J17" i="143"/>
  <c r="J16" i="143"/>
  <c r="J15" i="143"/>
  <c r="J14" i="143"/>
  <c r="J13" i="143"/>
  <c r="J12" i="143"/>
  <c r="J11" i="143"/>
  <c r="J10" i="143"/>
  <c r="J9" i="143"/>
  <c r="J8" i="143"/>
  <c r="H81" i="143" l="1"/>
  <c r="H92" i="143" s="1"/>
  <c r="J91" i="143"/>
  <c r="J80" i="143"/>
  <c r="J27" i="143"/>
  <c r="J90" i="143"/>
  <c r="F81" i="143"/>
  <c r="F92" i="143" s="1"/>
  <c r="H92" i="142"/>
  <c r="H93" i="142" s="1"/>
  <c r="F92" i="142"/>
  <c r="F93" i="142" s="1"/>
  <c r="J91" i="142"/>
  <c r="J90" i="142"/>
  <c r="J89" i="142"/>
  <c r="J88" i="142"/>
  <c r="J87" i="142"/>
  <c r="J86" i="142"/>
  <c r="H82" i="142"/>
  <c r="F82" i="142"/>
  <c r="J81" i="142"/>
  <c r="J80" i="142"/>
  <c r="J79" i="142"/>
  <c r="J78" i="142"/>
  <c r="J77" i="142"/>
  <c r="J76" i="142"/>
  <c r="J75" i="142"/>
  <c r="J74" i="142"/>
  <c r="J73" i="142"/>
  <c r="J72" i="142"/>
  <c r="J71" i="142"/>
  <c r="J70" i="142"/>
  <c r="J69" i="142"/>
  <c r="J68" i="142"/>
  <c r="J67" i="142"/>
  <c r="J66" i="142"/>
  <c r="J65" i="142"/>
  <c r="J64" i="142"/>
  <c r="J63" i="142"/>
  <c r="J62" i="142"/>
  <c r="J61" i="142"/>
  <c r="J60" i="142"/>
  <c r="J59" i="142"/>
  <c r="J58" i="142"/>
  <c r="J57" i="142"/>
  <c r="J56" i="142"/>
  <c r="J55" i="142"/>
  <c r="J54" i="142"/>
  <c r="J53" i="142"/>
  <c r="J52" i="142"/>
  <c r="J51" i="142"/>
  <c r="J50" i="142"/>
  <c r="J49" i="142"/>
  <c r="J48" i="142"/>
  <c r="J47" i="142"/>
  <c r="J46" i="142"/>
  <c r="J45" i="142"/>
  <c r="J44" i="142"/>
  <c r="J43" i="142"/>
  <c r="J42" i="142"/>
  <c r="J41" i="142"/>
  <c r="J40" i="142"/>
  <c r="J39" i="142"/>
  <c r="J38" i="142"/>
  <c r="J37" i="142"/>
  <c r="J36" i="142"/>
  <c r="J35" i="142"/>
  <c r="J34" i="142"/>
  <c r="J33" i="142"/>
  <c r="J32" i="142"/>
  <c r="J31" i="142"/>
  <c r="J30" i="142"/>
  <c r="F28" i="142"/>
  <c r="H27" i="142"/>
  <c r="H28" i="142" s="1"/>
  <c r="F27" i="142"/>
  <c r="J26" i="142"/>
  <c r="J25" i="142"/>
  <c r="J24" i="142"/>
  <c r="J23" i="142"/>
  <c r="J22" i="142"/>
  <c r="J21" i="142"/>
  <c r="J20" i="142"/>
  <c r="J19" i="142"/>
  <c r="J18" i="142"/>
  <c r="J17" i="142"/>
  <c r="J16" i="142"/>
  <c r="J15" i="142"/>
  <c r="J14" i="142"/>
  <c r="J13" i="142"/>
  <c r="J12" i="142"/>
  <c r="J11" i="142"/>
  <c r="J10" i="142"/>
  <c r="J9" i="142"/>
  <c r="J8" i="142"/>
  <c r="J92" i="143" l="1"/>
  <c r="F94" i="143"/>
  <c r="J28" i="142"/>
  <c r="F83" i="142"/>
  <c r="F94" i="142" s="1"/>
  <c r="F96" i="142" s="1"/>
  <c r="J27" i="142"/>
  <c r="H83" i="142"/>
  <c r="H94" i="142" s="1"/>
  <c r="H96" i="142" s="1"/>
  <c r="J81" i="143"/>
  <c r="J93" i="142"/>
  <c r="J92" i="142"/>
  <c r="J82" i="142"/>
  <c r="H63" i="141"/>
  <c r="H64" i="141" s="1"/>
  <c r="F63" i="141"/>
  <c r="J62" i="141"/>
  <c r="J61" i="141"/>
  <c r="H59" i="141"/>
  <c r="J58" i="141"/>
  <c r="H58" i="141"/>
  <c r="F58" i="141"/>
  <c r="J57" i="141"/>
  <c r="H55" i="141"/>
  <c r="F55" i="141"/>
  <c r="F59" i="141" s="1"/>
  <c r="J59" i="141" s="1"/>
  <c r="H54" i="141"/>
  <c r="F54" i="141"/>
  <c r="J54" i="141" s="1"/>
  <c r="J53" i="141"/>
  <c r="J52" i="141"/>
  <c r="J51" i="141"/>
  <c r="J50" i="141"/>
  <c r="J49" i="141"/>
  <c r="J48" i="141"/>
  <c r="J47" i="141"/>
  <c r="J45" i="141"/>
  <c r="H45" i="141"/>
  <c r="F45" i="141"/>
  <c r="J44" i="141"/>
  <c r="J42" i="141"/>
  <c r="H42" i="141"/>
  <c r="F42" i="141"/>
  <c r="J41" i="141"/>
  <c r="H35" i="141"/>
  <c r="F35" i="141"/>
  <c r="J34" i="141"/>
  <c r="J32" i="141"/>
  <c r="H30" i="141"/>
  <c r="F30" i="141"/>
  <c r="J29" i="141"/>
  <c r="J28" i="141"/>
  <c r="J27" i="141"/>
  <c r="J25" i="141"/>
  <c r="J24" i="141"/>
  <c r="J23" i="141"/>
  <c r="H20" i="141"/>
  <c r="J19" i="141"/>
  <c r="H19" i="141"/>
  <c r="F19" i="141"/>
  <c r="J18" i="141"/>
  <c r="H16" i="141"/>
  <c r="F16" i="141"/>
  <c r="J16" i="141" s="1"/>
  <c r="J15" i="141"/>
  <c r="J14" i="141"/>
  <c r="H12" i="141"/>
  <c r="F12" i="141"/>
  <c r="J12" i="141" s="1"/>
  <c r="J11" i="141"/>
  <c r="J10" i="141"/>
  <c r="J9" i="141"/>
  <c r="F64" i="141" l="1"/>
  <c r="J64" i="141" s="1"/>
  <c r="J55" i="141"/>
  <c r="J83" i="142"/>
  <c r="J30" i="141"/>
  <c r="F20" i="141"/>
  <c r="F36" i="141" s="1"/>
  <c r="J94" i="142"/>
  <c r="H36" i="141"/>
  <c r="H66" i="141" s="1"/>
  <c r="J63" i="141"/>
  <c r="J35" i="141"/>
  <c r="F66" i="141" l="1"/>
  <c r="J20" i="141"/>
  <c r="J36" i="141"/>
</calcChain>
</file>

<file path=xl/sharedStrings.xml><?xml version="1.0" encoding="utf-8"?>
<sst xmlns="http://schemas.openxmlformats.org/spreadsheetml/2006/main" count="322" uniqueCount="201">
  <si>
    <t>ASSETS</t>
  </si>
  <si>
    <t>Current Assets</t>
  </si>
  <si>
    <t>Checking/Savings</t>
  </si>
  <si>
    <t>Total Checking/Savings</t>
  </si>
  <si>
    <t>Accounts Receivable</t>
  </si>
  <si>
    <t>Total Accounts Receivable</t>
  </si>
  <si>
    <t>Other Current Assets</t>
  </si>
  <si>
    <t>Total Other Current Assets</t>
  </si>
  <si>
    <t>Total Current Assets</t>
  </si>
  <si>
    <t>Fixed Assets</t>
  </si>
  <si>
    <t>Total Fixed Assets</t>
  </si>
  <si>
    <t>Other Assets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</si>
  <si>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</si>
  <si>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</si>
  <si>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</si>
  <si>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</si>
  <si>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</si>
  <si>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</si>
  <si>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Credit Cards</t>
  </si>
  <si>
    <t>Other Current Liabilities</t>
  </si>
  <si>
    <t>Total Other Current Liabilities</t>
  </si>
  <si>
    <t>Total Current Liabilities</t>
  </si>
  <si>
    <t>Long Term Liabilities</t>
  </si>
  <si>
    <t>Total Liabilities</t>
  </si>
  <si>
    <t>Equity</t>
  </si>
  <si>
    <t>Net Income</t>
  </si>
  <si>
    <t>Total Equity</t>
  </si>
  <si>
    <t>TOTAL LIABILITIES &amp; EQUITY</t>
  </si>
  <si>
    <t>Ordinary Income/Expense</t>
  </si>
  <si>
    <t>Income</t>
  </si>
  <si>
    <t>Total Income</t>
  </si>
  <si>
    <t>Gross Profit</t>
  </si>
  <si>
    <t>Expense</t>
  </si>
  <si>
    <t>Total Expense</t>
  </si>
  <si>
    <t>Net Ordinary Income</t>
  </si>
  <si>
    <t>Other Income/Expense</t>
  </si>
  <si>
    <t>Other Income</t>
  </si>
  <si>
    <t>Total Other Income</t>
  </si>
  <si>
    <t>Net Other Income</t>
  </si>
  <si>
    <t>Budget</t>
  </si>
  <si>
    <t>Comments</t>
  </si>
  <si>
    <t>$ Change</t>
  </si>
  <si>
    <t>Ohio Provider Resource Association</t>
  </si>
  <si>
    <t>Consolidated Statement of Financial Position</t>
  </si>
  <si>
    <t>Consolidated Statement of Activities</t>
  </si>
  <si>
    <t>Profit &amp; Loss Budget vs. Actual</t>
  </si>
  <si>
    <t>$ Over Budget</t>
  </si>
  <si>
    <t>Total Accounts Payable</t>
  </si>
  <si>
    <t>Total Credit Cards</t>
  </si>
  <si>
    <t>Total Long Term Liabilities</t>
  </si>
  <si>
    <t>1000 · Checking</t>
  </si>
  <si>
    <t>1010 · Savings</t>
  </si>
  <si>
    <t>1030 · Petty Cash</t>
  </si>
  <si>
    <t>1250 · A/R - OPRA Foundation</t>
  </si>
  <si>
    <t>1400 · Prepaid Expenses</t>
  </si>
  <si>
    <t>1520 · Furniture and Equipment</t>
  </si>
  <si>
    <t>1530 · Software</t>
  </si>
  <si>
    <t>1540 · Computers</t>
  </si>
  <si>
    <t>1620 · Accum Dep - Furniture &amp; Equip</t>
  </si>
  <si>
    <t>1630 · Accum Amort. - Software</t>
  </si>
  <si>
    <t>1640 · Accum Dep - Computers</t>
  </si>
  <si>
    <t>1700 · Investments</t>
  </si>
  <si>
    <t>2000 · A/P - Trade</t>
  </si>
  <si>
    <t>2100 · Credit Card</t>
  </si>
  <si>
    <t>2210 · Accrued Vacation</t>
  </si>
  <si>
    <t>2310 · Accrued Legal Expense</t>
  </si>
  <si>
    <t>2320 · Accrued Real Estate Taxes</t>
  </si>
  <si>
    <t>2400 · Capital Lease Payable - Current</t>
  </si>
  <si>
    <t>2610 · Deferred Revenue - Conferences</t>
  </si>
  <si>
    <t>2900 · Capital Lease Payable</t>
  </si>
  <si>
    <t>4000 · Membership Dues</t>
  </si>
  <si>
    <t>4010 · Associate Dues</t>
  </si>
  <si>
    <t>4100 · Seminars &amp; Education</t>
  </si>
  <si>
    <t>4280 · Provider Guide +</t>
  </si>
  <si>
    <t>4290 · Waiver Pilot Income</t>
  </si>
  <si>
    <t>4300 · Consulting Revenue</t>
  </si>
  <si>
    <t>4410 · ChronoEngineering Income</t>
  </si>
  <si>
    <t>4420 · C3P(O) Income</t>
  </si>
  <si>
    <t>4700 · Other Income</t>
  </si>
  <si>
    <t>4720 · Unemployment Service Trust</t>
  </si>
  <si>
    <t>4740 · Publication Sales</t>
  </si>
  <si>
    <t>4750 · Wells Fargo Revenue</t>
  </si>
  <si>
    <t>4760 · Open Online Revenue</t>
  </si>
  <si>
    <t>5100 · Seminars &amp; Education Expense</t>
  </si>
  <si>
    <t>5110 · Spring Conference Expense</t>
  </si>
  <si>
    <t>5290 · Waiver Pilot Expenses</t>
  </si>
  <si>
    <t>5300 · Consulting Expense</t>
  </si>
  <si>
    <t>5410 · ChronoEngineering Expenses</t>
  </si>
  <si>
    <t>5420 · C3P(O) Expense</t>
  </si>
  <si>
    <t>6000 · Salary &amp; Wages</t>
  </si>
  <si>
    <t>6020 · Employer Taxes</t>
  </si>
  <si>
    <t>6090 · Payroll Service Fees</t>
  </si>
  <si>
    <t>6100 · Employee Insurance</t>
  </si>
  <si>
    <t>6110 · Employee Retirement</t>
  </si>
  <si>
    <t>6120 · Employee Car Allowance</t>
  </si>
  <si>
    <t>6190 · Staff Development</t>
  </si>
  <si>
    <t>6200 · Professional Fees</t>
  </si>
  <si>
    <t>6220 · Legal Fees</t>
  </si>
  <si>
    <t>6230 · Accounting</t>
  </si>
  <si>
    <t>6240 · Lobbying</t>
  </si>
  <si>
    <t>6300 · Office Expenses</t>
  </si>
  <si>
    <t>6320 · Telecommunications</t>
  </si>
  <si>
    <t>6330 · Utilities</t>
  </si>
  <si>
    <t>6340 · Postage &amp; Shipping</t>
  </si>
  <si>
    <t>6350 · Repairs &amp; Maintenance</t>
  </si>
  <si>
    <t>6360 · Office Equipment Rental</t>
  </si>
  <si>
    <t>6370 · Office Cleaning</t>
  </si>
  <si>
    <t>6380 · Communication Plan</t>
  </si>
  <si>
    <t>6390 · Security System</t>
  </si>
  <si>
    <t>6400 · Contributions/Donations</t>
  </si>
  <si>
    <t>6499 · Miscellaneous Expense</t>
  </si>
  <si>
    <t>6500 · IT Support</t>
  </si>
  <si>
    <t>6510 · Website</t>
  </si>
  <si>
    <t>6520 · Software Expenses</t>
  </si>
  <si>
    <t>6530 · BI Tool</t>
  </si>
  <si>
    <t>6540 · Other IT Expenses</t>
  </si>
  <si>
    <t>6600 · Insurance</t>
  </si>
  <si>
    <t>6700 · Committee Expenses</t>
  </si>
  <si>
    <t>6800 · Dues &amp; Subscriptions</t>
  </si>
  <si>
    <t>6900 · Travel Expense</t>
  </si>
  <si>
    <t>6910 · Meals and Entertainment</t>
  </si>
  <si>
    <t>7000 · Credit Card Fees</t>
  </si>
  <si>
    <t>7010 · Bank Service Fees</t>
  </si>
  <si>
    <t>7100 · PAC Expenses</t>
  </si>
  <si>
    <t>7400 · Interest Expense</t>
  </si>
  <si>
    <t>7500 · Depreciation Expense</t>
  </si>
  <si>
    <t>8500 · Real Estate Taxes</t>
  </si>
  <si>
    <t>9000 · Interest Income</t>
  </si>
  <si>
    <t>9010 · Interest and Dividends</t>
  </si>
  <si>
    <t>9020 · Realized gain (loss) on invest</t>
  </si>
  <si>
    <t>9030 · Unrealized inv gain (loss)</t>
  </si>
  <si>
    <t>9040 · Assoc Broker &amp; Investment Fees</t>
  </si>
  <si>
    <t>3000 · Net Assets</t>
  </si>
  <si>
    <t>4200 · Grant Income</t>
  </si>
  <si>
    <t>5200 · Grant Expense</t>
  </si>
  <si>
    <t>No Vorys Advisors or Govt Solutions Group in 2016.</t>
  </si>
  <si>
    <t>4710 · CompManagement Revenue</t>
  </si>
  <si>
    <t>6205 · Professional Fees-State Budget</t>
  </si>
  <si>
    <t>6410 · Sponsorship Expenses</t>
  </si>
  <si>
    <t>OPERATING ACTIVITIES</t>
  </si>
  <si>
    <t>Adjustments to reconcile Net Income</t>
  </si>
  <si>
    <t>to net cash provided by operations:</t>
  </si>
  <si>
    <t>2620 · Deferred Revenue - Other</t>
  </si>
  <si>
    <t>Net cash provided by Operating Activities</t>
  </si>
  <si>
    <t>INVESTING ACTIVITIES</t>
  </si>
  <si>
    <t>Net cash provided by Investing Activities</t>
  </si>
  <si>
    <t>FINANCING ACTIVITIES</t>
  </si>
  <si>
    <t>Net cash provided by Financing Activities</t>
  </si>
  <si>
    <t>Net cash increase for period</t>
  </si>
  <si>
    <t>Cash at beginning of period</t>
  </si>
  <si>
    <t>Cash at end of period</t>
  </si>
  <si>
    <t>4110 · Spring Conference Registration</t>
  </si>
  <si>
    <t>6010 · Temporary Employees</t>
  </si>
  <si>
    <t>Legislative Advocacy Day expenses</t>
  </si>
  <si>
    <t>Less training in 2016 as compared to budget.</t>
  </si>
  <si>
    <t>Less employees in 2016 as compared to 2016.</t>
  </si>
  <si>
    <t>Better than budget!</t>
  </si>
  <si>
    <t>4115 · Spring Conference Sponsorship</t>
  </si>
  <si>
    <t>4125 · Fall Conference Sponsorship</t>
  </si>
  <si>
    <t>Legislative Advocacy Day.</t>
  </si>
  <si>
    <t xml:space="preserve">Legislative Advocacy Day. </t>
  </si>
  <si>
    <t>Shut down this program in 2016.</t>
  </si>
  <si>
    <t>Statement of Cash Flows</t>
  </si>
  <si>
    <t>We have only been paying the retainer in 2016.</t>
  </si>
  <si>
    <t>2300 · Accrued Expenses</t>
  </si>
  <si>
    <t>Program has been cancelled.</t>
  </si>
  <si>
    <t>OADSP, Janice Hall and Student Stipend</t>
  </si>
  <si>
    <t>4730 · Philadelphia Insurance Revenue</t>
  </si>
  <si>
    <t>2 less employees than budgeted for beginning of the year.</t>
  </si>
  <si>
    <t>Less full time employees in 2016 as compared to 2015.</t>
  </si>
  <si>
    <t>M. Watson's budgeted item</t>
  </si>
  <si>
    <t>Included IT Support as well as BI Tool.  Overall, IT expenses are lower than budget.</t>
  </si>
  <si>
    <t>We will own the copier free and clear in May, 2017.</t>
  </si>
  <si>
    <t>CB&amp;T Report in 2016 and Health Mgt Assoc invoices.</t>
  </si>
  <si>
    <t>Not sure how much of this should actually be expensed to BI Tool.  Most if not all maybe IT Support expenses.</t>
  </si>
  <si>
    <t>5120 · Fall Conference Expense</t>
  </si>
  <si>
    <t>5280 · Provider Guide + Expenses</t>
  </si>
  <si>
    <t>2nd half of 2015-2016  and 1st half of 2016-2017.</t>
  </si>
  <si>
    <t>We budgeted 70 students for the 2016-2017 class.  The actual was 45 students.</t>
  </si>
  <si>
    <t>6420 · Charitable Registration Fee</t>
  </si>
  <si>
    <t>Cash balance is ahead of 2015.</t>
  </si>
  <si>
    <t>Mostly ChronoEngineering refund, payable in 2017.</t>
  </si>
  <si>
    <t>4120 · Fall Conference Registration</t>
  </si>
  <si>
    <t>Merchant deposit fees</t>
  </si>
  <si>
    <t>2nd half of 2015-2016 and 1st half of 2016-2017 School Year expense and monthly contracted services and expenses.</t>
  </si>
  <si>
    <t>No Blue Jeans conference services in 2016</t>
  </si>
  <si>
    <t>Due to more attendees, the cost was higher.  Also the speaker fee was about $9k in total.</t>
  </si>
  <si>
    <t>As of December 31, 2016</t>
  </si>
  <si>
    <t>Dec 31, 16</t>
  </si>
  <si>
    <t>Dec 31, 15</t>
  </si>
  <si>
    <t>1200 · Accounts Receivable</t>
  </si>
  <si>
    <t>1800 · Intercompany - OPRA Foundation</t>
  </si>
  <si>
    <t>Cleaned up Fixed Assets and removed disposed and fully depreciated assets.</t>
  </si>
  <si>
    <t>C3P(O), training and conference income deferred to 2017.</t>
  </si>
  <si>
    <t>January through December 2016</t>
  </si>
  <si>
    <t>Jan - Dec 16</t>
  </si>
  <si>
    <t>Jan - Dec 15</t>
  </si>
  <si>
    <t>7700 · Gain/Loss on Sale of Asset</t>
  </si>
  <si>
    <t>1700 · Investments - Foundation</t>
  </si>
  <si>
    <t>1510 · Building</t>
  </si>
  <si>
    <t>1610 · Accum Dep -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</si>
</sst>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8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wrapText="1"/>
    </xf>
    <xf numFmtId="49" fontId="3" fillId="0" borderId="0" xfId="0" applyNumberFormat="1" applyFont="1"/>
    <xf numFmtId="0" fontId="5" fillId="0" borderId="0" xfId="0" applyFont="1"/>
    <xf numFmtId="49" fontId="3" fillId="0" borderId="2" xfId="0" applyNumberFormat="1" applyFont="1" applyBorder="1" applyAlignment="1">
      <alignment horizontal="center"/>
    </xf>
    <xf numFmtId="40" fontId="6" fillId="0" borderId="0" xfId="0" applyNumberFormat="1" applyFont="1"/>
    <xf numFmtId="49" fontId="6" fillId="0" borderId="0" xfId="0" applyNumberFormat="1" applyFont="1"/>
    <xf numFmtId="0" fontId="3" fillId="0" borderId="0" xfId="0" applyFont="1"/>
    <xf numFmtId="0" fontId="5" fillId="0" borderId="0" xfId="0" applyFont="1" applyAlignment="1">
      <alignment wrapText="1"/>
    </xf>
    <xf numFmtId="38" fontId="6" fillId="0" borderId="0" xfId="0" applyNumberFormat="1" applyFont="1"/>
    <xf numFmtId="38" fontId="6" fillId="0" borderId="3" xfId="0" applyNumberFormat="1" applyFont="1" applyBorder="1"/>
    <xf numFmtId="38" fontId="6" fillId="0" borderId="0" xfId="0" applyNumberFormat="1" applyFont="1" applyBorder="1"/>
    <xf numFmtId="38" fontId="6" fillId="0" borderId="4" xfId="0" applyNumberFormat="1" applyFont="1" applyBorder="1"/>
    <xf numFmtId="38" fontId="6" fillId="0" borderId="5" xfId="0" applyNumberFormat="1" applyFont="1" applyBorder="1"/>
    <xf numFmtId="0" fontId="1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/>
    </xf>
    <xf numFmtId="0" fontId="7" fillId="0" borderId="0" xfId="0" applyFont="1"/>
    <xf numFmtId="38" fontId="3" fillId="0" borderId="6" xfId="0" applyNumberFormat="1" applyFont="1" applyBorder="1"/>
    <xf numFmtId="38" fontId="3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NumberFormat="1" applyFont="1"/>
    <xf numFmtId="0" fontId="0" fillId="0" borderId="0" xfId="0" applyNumberForma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38" fontId="0" fillId="0" borderId="0" xfId="0" applyNumberFormat="1"/>
    <xf numFmtId="38" fontId="6" fillId="0" borderId="7" xfId="0" applyNumberFormat="1" applyFont="1" applyBorder="1"/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85345" name="FILTER" hidden="1">
              <a:extLst>
                <a:ext uri="{63B3BB69-23CF-44E3-9099-C40C66FF867C}">
                  <a14:compatExt spid="_x0000_s185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85346" name="HEADER" hidden="1">
              <a:extLst>
                <a:ext uri="{63B3BB69-23CF-44E3-9099-C40C66FF867C}">
                  <a14:compatExt spid="_x0000_s185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89441" name="FILTER" hidden="1">
              <a:extLst>
                <a:ext uri="{63B3BB69-23CF-44E3-9099-C40C66FF867C}">
                  <a14:compatExt spid="_x0000_s189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89442" name="HEADER" hidden="1">
              <a:extLst>
                <a:ext uri="{63B3BB69-23CF-44E3-9099-C40C66FF867C}">
                  <a14:compatExt spid="_x0000_s189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92513" name="FILTER" hidden="1">
              <a:extLst>
                <a:ext uri="{63B3BB69-23CF-44E3-9099-C40C66FF867C}">
                  <a14:compatExt spid="_x0000_s19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92514" name="HEADER" hidden="1">
              <a:extLst>
                <a:ext uri="{63B3BB69-23CF-44E3-9099-C40C66FF867C}">
                  <a14:compatExt spid="_x0000_s19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94561" name="FILTER" hidden="1">
              <a:extLst>
                <a:ext uri="{63B3BB69-23CF-44E3-9099-C40C66FF867C}">
                  <a14:compatExt spid="_x0000_s194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94562" name="HEADER" hidden="1">
              <a:extLst>
                <a:ext uri="{63B3BB69-23CF-44E3-9099-C40C66FF867C}">
                  <a14:compatExt spid="_x0000_s194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L66"/>
  <sheetViews>
    <sheetView topLeftCell="A3" workbookViewId="0">
      <selection activeCell="F62" sqref="F62"/>
    </sheetView>
  </sheetViews>
  <sheetFormatPr defaultRowHeight="15.75" x14ac:dyDescent="0.25"/>
  <cols>
    <col min="1" max="4" width="3" style="25" customWidth="1"/>
    <col min="5" max="5" width="42" style="25" customWidth="1"/>
    <col min="6" max="6" width="15.42578125" style="26" bestFit="1" customWidth="1"/>
    <col min="7" max="7" width="2.28515625" style="26" customWidth="1"/>
    <col min="8" max="8" width="15.42578125" style="26" bestFit="1" customWidth="1"/>
    <col min="9" max="9" width="2.28515625" style="26" customWidth="1"/>
    <col min="10" max="10" width="14.28515625" style="26" bestFit="1" customWidth="1"/>
    <col min="11" max="11" width="1.140625" customWidth="1"/>
    <col min="12" max="12" width="45.7109375" customWidth="1"/>
  </cols>
  <sheetData>
    <row r="1" spans="1:12" x14ac:dyDescent="0.2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5">
      <c r="A2" s="33" t="s">
        <v>43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3" t="s">
        <v>187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6.5" thickBot="1" x14ac:dyDescent="0.3">
      <c r="A4" s="6"/>
      <c r="B4" s="6"/>
      <c r="C4" s="6"/>
      <c r="D4" s="6"/>
      <c r="E4" s="6"/>
      <c r="F4" s="21"/>
      <c r="G4" s="20"/>
      <c r="H4" s="21"/>
      <c r="I4" s="20"/>
      <c r="J4" s="21"/>
    </row>
    <row r="5" spans="1:12" s="24" customFormat="1" ht="17.25" thickTop="1" thickBot="1" x14ac:dyDescent="0.3">
      <c r="A5" s="22"/>
      <c r="B5" s="22"/>
      <c r="C5" s="22"/>
      <c r="D5" s="22"/>
      <c r="E5" s="22"/>
      <c r="F5" s="4" t="s">
        <v>188</v>
      </c>
      <c r="G5" s="23"/>
      <c r="H5" s="4" t="s">
        <v>189</v>
      </c>
      <c r="I5" s="23"/>
      <c r="J5" s="4" t="s">
        <v>41</v>
      </c>
      <c r="L5" s="1" t="s">
        <v>40</v>
      </c>
    </row>
    <row r="6" spans="1:12" ht="16.5" thickTop="1" x14ac:dyDescent="0.25">
      <c r="A6" s="6" t="s">
        <v>0</v>
      </c>
      <c r="B6" s="6"/>
      <c r="C6" s="6"/>
      <c r="D6" s="6"/>
      <c r="E6" s="6"/>
      <c r="F6" s="5"/>
      <c r="G6" s="6"/>
      <c r="H6" s="5"/>
      <c r="I6" s="6"/>
      <c r="J6" s="5"/>
    </row>
    <row r="7" spans="1:12" x14ac:dyDescent="0.25">
      <c r="A7" s="6"/>
      <c r="B7" s="6" t="s">
        <v>1</v>
      </c>
      <c r="C7" s="6"/>
      <c r="D7" s="6"/>
      <c r="E7" s="6"/>
      <c r="F7" s="5"/>
      <c r="G7" s="6"/>
      <c r="H7" s="5"/>
      <c r="I7" s="6"/>
      <c r="J7" s="5"/>
    </row>
    <row r="8" spans="1:12" x14ac:dyDescent="0.25">
      <c r="A8" s="6"/>
      <c r="B8" s="6"/>
      <c r="C8" s="6" t="s">
        <v>2</v>
      </c>
      <c r="D8" s="6"/>
      <c r="E8" s="6"/>
      <c r="F8" s="5"/>
      <c r="G8" s="6"/>
      <c r="H8" s="5"/>
      <c r="I8" s="6"/>
      <c r="J8" s="5"/>
    </row>
    <row r="9" spans="1:12" x14ac:dyDescent="0.25">
      <c r="A9" s="6"/>
      <c r="B9" s="6"/>
      <c r="C9" s="6"/>
      <c r="D9" s="6" t="s">
        <v>50</v>
      </c>
      <c r="E9" s="6"/>
      <c r="F9" s="9">
        <f>101895.08+5544</f>
        <v>107439.08</v>
      </c>
      <c r="G9" s="9"/>
      <c r="H9" s="9">
        <f>15790.85+7720</f>
        <v>23510.85</v>
      </c>
      <c r="I9" s="9"/>
      <c r="J9" s="9">
        <f>ROUND((F9-H9),5)</f>
        <v>83928.23</v>
      </c>
    </row>
    <row r="10" spans="1:12" x14ac:dyDescent="0.25">
      <c r="A10" s="6"/>
      <c r="B10" s="6"/>
      <c r="C10" s="6"/>
      <c r="D10" s="6" t="s">
        <v>51</v>
      </c>
      <c r="E10" s="6"/>
      <c r="F10" s="9">
        <v>50000.93</v>
      </c>
      <c r="G10" s="9"/>
      <c r="H10" s="9">
        <v>4.91</v>
      </c>
      <c r="I10" s="9"/>
      <c r="J10" s="9">
        <f>ROUND((F10-H10),5)</f>
        <v>49996.02</v>
      </c>
    </row>
    <row r="11" spans="1:12" ht="16.5" thickBot="1" x14ac:dyDescent="0.3">
      <c r="A11" s="6"/>
      <c r="B11" s="6"/>
      <c r="C11" s="6"/>
      <c r="D11" s="6" t="s">
        <v>52</v>
      </c>
      <c r="E11" s="6"/>
      <c r="F11" s="10">
        <v>250</v>
      </c>
      <c r="G11" s="9"/>
      <c r="H11" s="10">
        <v>250</v>
      </c>
      <c r="I11" s="9"/>
      <c r="J11" s="10">
        <f>ROUND((F11-H11),5)</f>
        <v>0</v>
      </c>
    </row>
    <row r="12" spans="1:12" x14ac:dyDescent="0.25">
      <c r="A12" s="6"/>
      <c r="B12" s="6"/>
      <c r="C12" s="6" t="s">
        <v>3</v>
      </c>
      <c r="D12" s="6"/>
      <c r="E12" s="6"/>
      <c r="F12" s="9">
        <f>ROUND(SUM(F8:F11),5)</f>
        <v>157690.01</v>
      </c>
      <c r="G12" s="9"/>
      <c r="H12" s="9">
        <f>ROUND(SUM(H8:H11),5)</f>
        <v>23765.759999999998</v>
      </c>
      <c r="I12" s="9"/>
      <c r="J12" s="9">
        <f>ROUND((F12-H12),5)</f>
        <v>133924.25</v>
      </c>
      <c r="L12" s="8" t="s">
        <v>180</v>
      </c>
    </row>
    <row r="13" spans="1:12" x14ac:dyDescent="0.25">
      <c r="A13" s="6"/>
      <c r="B13" s="6"/>
      <c r="C13" s="6" t="s">
        <v>4</v>
      </c>
      <c r="D13" s="6"/>
      <c r="E13" s="6"/>
      <c r="F13" s="9"/>
      <c r="G13" s="9"/>
      <c r="H13" s="9"/>
      <c r="I13" s="9"/>
      <c r="J13" s="9"/>
      <c r="L13" s="8"/>
    </row>
    <row r="14" spans="1:12" x14ac:dyDescent="0.25">
      <c r="A14" s="6"/>
      <c r="B14" s="6"/>
      <c r="C14" s="6"/>
      <c r="D14" s="6" t="s">
        <v>190</v>
      </c>
      <c r="E14" s="6"/>
      <c r="F14" s="9">
        <v>15782.14</v>
      </c>
      <c r="G14" s="9"/>
      <c r="H14" s="9">
        <v>4317</v>
      </c>
      <c r="I14" s="9"/>
      <c r="J14" s="9">
        <f>ROUND((F14-H14),5)</f>
        <v>11465.14</v>
      </c>
      <c r="L14" s="8"/>
    </row>
    <row r="15" spans="1:12" ht="16.5" thickBot="1" x14ac:dyDescent="0.3">
      <c r="A15" s="6"/>
      <c r="B15" s="6"/>
      <c r="C15" s="6"/>
      <c r="D15" s="6" t="s">
        <v>53</v>
      </c>
      <c r="E15" s="6"/>
      <c r="F15" s="10">
        <v>0</v>
      </c>
      <c r="G15" s="9"/>
      <c r="H15" s="10">
        <v>0</v>
      </c>
      <c r="I15" s="9"/>
      <c r="J15" s="10">
        <f>ROUND((F15-H15),5)</f>
        <v>0</v>
      </c>
      <c r="L15" s="8"/>
    </row>
    <row r="16" spans="1:12" x14ac:dyDescent="0.25">
      <c r="A16" s="6"/>
      <c r="B16" s="6"/>
      <c r="C16" s="6" t="s">
        <v>5</v>
      </c>
      <c r="D16" s="6"/>
      <c r="E16" s="6"/>
      <c r="F16" s="9">
        <f>ROUND(SUM(F13:F15),5)</f>
        <v>15782.14</v>
      </c>
      <c r="G16" s="9"/>
      <c r="H16" s="9">
        <f>ROUND(SUM(H13:H15),5)</f>
        <v>4317</v>
      </c>
      <c r="I16" s="9"/>
      <c r="J16" s="9">
        <f>ROUND((F16-H16),5)</f>
        <v>11465.14</v>
      </c>
      <c r="L16" s="8"/>
    </row>
    <row r="17" spans="1:12" x14ac:dyDescent="0.25">
      <c r="A17" s="6"/>
      <c r="B17" s="6"/>
      <c r="C17" s="6" t="s">
        <v>6</v>
      </c>
      <c r="D17" s="6"/>
      <c r="E17" s="6"/>
      <c r="F17" s="9"/>
      <c r="G17" s="9"/>
      <c r="H17" s="9"/>
      <c r="I17" s="9"/>
      <c r="J17" s="9"/>
      <c r="L17" s="8"/>
    </row>
    <row r="18" spans="1:12" ht="16.5" thickBot="1" x14ac:dyDescent="0.3">
      <c r="A18" s="6"/>
      <c r="B18" s="6"/>
      <c r="C18" s="6"/>
      <c r="D18" s="6" t="s">
        <v>54</v>
      </c>
      <c r="E18" s="6"/>
      <c r="F18" s="11">
        <v>0</v>
      </c>
      <c r="G18" s="9"/>
      <c r="H18" s="11">
        <v>4019.77</v>
      </c>
      <c r="I18" s="9"/>
      <c r="J18" s="11">
        <f>ROUND((F18-H18),5)</f>
        <v>-4019.77</v>
      </c>
      <c r="L18" s="8"/>
    </row>
    <row r="19" spans="1:12" ht="16.5" thickBot="1" x14ac:dyDescent="0.3">
      <c r="A19" s="6"/>
      <c r="B19" s="6"/>
      <c r="C19" s="6" t="s">
        <v>7</v>
      </c>
      <c r="D19" s="6"/>
      <c r="E19" s="6"/>
      <c r="F19" s="12">
        <f>ROUND(SUM(F17:F18),5)</f>
        <v>0</v>
      </c>
      <c r="G19" s="9"/>
      <c r="H19" s="12">
        <f>ROUND(SUM(H17:H18),5)</f>
        <v>4019.77</v>
      </c>
      <c r="I19" s="9"/>
      <c r="J19" s="12">
        <f>ROUND((F19-H19),5)</f>
        <v>-4019.77</v>
      </c>
      <c r="L19" s="8"/>
    </row>
    <row r="20" spans="1:12" x14ac:dyDescent="0.25">
      <c r="A20" s="6"/>
      <c r="B20" s="6" t="s">
        <v>8</v>
      </c>
      <c r="C20" s="6"/>
      <c r="D20" s="6"/>
      <c r="E20" s="6"/>
      <c r="F20" s="9">
        <f>ROUND(F7+F12+F16+F19,5)</f>
        <v>173472.15</v>
      </c>
      <c r="G20" s="9"/>
      <c r="H20" s="9">
        <f>ROUND(H7+H12+H16+H19,5)</f>
        <v>32102.53</v>
      </c>
      <c r="I20" s="9"/>
      <c r="J20" s="9">
        <f>ROUND((F20-H20),5)</f>
        <v>141369.62</v>
      </c>
      <c r="L20" s="8"/>
    </row>
    <row r="21" spans="1:12" x14ac:dyDescent="0.25">
      <c r="A21" s="6"/>
      <c r="B21" s="6" t="s">
        <v>9</v>
      </c>
      <c r="C21" s="6"/>
      <c r="D21" s="6"/>
      <c r="E21" s="6"/>
      <c r="F21" s="9"/>
      <c r="G21" s="9"/>
      <c r="H21" s="9"/>
      <c r="I21" s="9"/>
      <c r="J21" s="9"/>
      <c r="L21" s="8"/>
    </row>
    <row r="22" spans="1:12" x14ac:dyDescent="0.25">
      <c r="A22" s="6"/>
      <c r="B22" s="6"/>
      <c r="C22" s="6" t="s">
        <v>199</v>
      </c>
      <c r="D22" s="6"/>
      <c r="E22" s="6"/>
      <c r="F22" s="9">
        <v>513087.14</v>
      </c>
      <c r="G22" s="9"/>
      <c r="H22" s="9">
        <v>513087.14</v>
      </c>
      <c r="I22" s="9"/>
      <c r="J22" s="9">
        <f t="shared" ref="J22" si="0">ROUND((F22-H22),5)</f>
        <v>0</v>
      </c>
      <c r="L22" s="8"/>
    </row>
    <row r="23" spans="1:12" ht="30.75" x14ac:dyDescent="0.25">
      <c r="A23" s="6"/>
      <c r="B23" s="6"/>
      <c r="C23" s="6" t="s">
        <v>55</v>
      </c>
      <c r="D23" s="6"/>
      <c r="E23" s="6"/>
      <c r="F23" s="9">
        <v>86792.42</v>
      </c>
      <c r="G23" s="9"/>
      <c r="H23" s="9">
        <v>96205.07</v>
      </c>
      <c r="I23" s="9"/>
      <c r="J23" s="9">
        <f t="shared" ref="J23:J30" si="1">ROUND((F23-H23),5)</f>
        <v>-9412.65</v>
      </c>
      <c r="L23" s="8" t="s">
        <v>192</v>
      </c>
    </row>
    <row r="24" spans="1:12" x14ac:dyDescent="0.25">
      <c r="A24" s="6"/>
      <c r="B24" s="6"/>
      <c r="C24" s="6" t="s">
        <v>56</v>
      </c>
      <c r="D24" s="6"/>
      <c r="E24" s="6"/>
      <c r="F24" s="9">
        <v>0</v>
      </c>
      <c r="G24" s="9"/>
      <c r="H24" s="9">
        <v>19699.759999999998</v>
      </c>
      <c r="I24" s="9"/>
      <c r="J24" s="9">
        <f t="shared" si="1"/>
        <v>-19699.759999999998</v>
      </c>
      <c r="L24" s="8"/>
    </row>
    <row r="25" spans="1:12" x14ac:dyDescent="0.25">
      <c r="A25" s="6"/>
      <c r="B25" s="6"/>
      <c r="C25" s="6" t="s">
        <v>57</v>
      </c>
      <c r="D25" s="6"/>
      <c r="E25" s="6"/>
      <c r="F25" s="9">
        <v>23518.45</v>
      </c>
      <c r="G25" s="9"/>
      <c r="H25" s="9">
        <v>47787.56</v>
      </c>
      <c r="I25" s="9"/>
      <c r="J25" s="9">
        <f t="shared" si="1"/>
        <v>-24269.11</v>
      </c>
      <c r="L25" s="8"/>
    </row>
    <row r="26" spans="1:12" x14ac:dyDescent="0.25">
      <c r="A26" s="6"/>
      <c r="B26" s="6"/>
      <c r="C26" s="6" t="s">
        <v>200</v>
      </c>
      <c r="D26" s="6"/>
      <c r="E26" s="6"/>
      <c r="F26" s="9">
        <v>-90326.92</v>
      </c>
      <c r="G26" s="9"/>
      <c r="H26" s="9">
        <v>-77170.84</v>
      </c>
      <c r="I26" s="9"/>
      <c r="J26" s="9">
        <f t="shared" ref="J26" si="2">ROUND((F26-H26),5)</f>
        <v>-13156.08</v>
      </c>
      <c r="L26" s="8"/>
    </row>
    <row r="27" spans="1:12" x14ac:dyDescent="0.25">
      <c r="A27" s="6"/>
      <c r="B27" s="6"/>
      <c r="C27" s="6" t="s">
        <v>58</v>
      </c>
      <c r="D27" s="6"/>
      <c r="E27" s="6"/>
      <c r="F27" s="9">
        <v>-78060.34</v>
      </c>
      <c r="G27" s="9"/>
      <c r="H27" s="9">
        <v>-80618.710000000006</v>
      </c>
      <c r="I27" s="9"/>
      <c r="J27" s="9">
        <f t="shared" si="1"/>
        <v>2558.37</v>
      </c>
      <c r="L27" s="8"/>
    </row>
    <row r="28" spans="1:12" x14ac:dyDescent="0.25">
      <c r="A28" s="6"/>
      <c r="B28" s="6"/>
      <c r="C28" s="6" t="s">
        <v>59</v>
      </c>
      <c r="D28" s="6"/>
      <c r="E28" s="6"/>
      <c r="F28" s="9">
        <v>0</v>
      </c>
      <c r="G28" s="9"/>
      <c r="H28" s="9">
        <v>-18180.32</v>
      </c>
      <c r="I28" s="9"/>
      <c r="J28" s="9">
        <f t="shared" si="1"/>
        <v>18180.32</v>
      </c>
      <c r="L28" s="8"/>
    </row>
    <row r="29" spans="1:12" ht="16.5" thickBot="1" x14ac:dyDescent="0.3">
      <c r="A29" s="6"/>
      <c r="B29" s="6"/>
      <c r="C29" s="6" t="s">
        <v>60</v>
      </c>
      <c r="D29" s="6"/>
      <c r="E29" s="6"/>
      <c r="F29" s="10">
        <v>-19760.53</v>
      </c>
      <c r="G29" s="9"/>
      <c r="H29" s="10">
        <v>-42903.25</v>
      </c>
      <c r="I29" s="9"/>
      <c r="J29" s="10">
        <f t="shared" si="1"/>
        <v>23142.720000000001</v>
      </c>
      <c r="L29" s="8"/>
    </row>
    <row r="30" spans="1:12" x14ac:dyDescent="0.25">
      <c r="A30" s="6"/>
      <c r="B30" s="6" t="s">
        <v>10</v>
      </c>
      <c r="C30" s="6"/>
      <c r="D30" s="6"/>
      <c r="E30" s="6"/>
      <c r="F30" s="9">
        <f>ROUND(SUM(F21:F29),5)</f>
        <v>435250.22</v>
      </c>
      <c r="G30" s="9"/>
      <c r="H30" s="9">
        <f>ROUND(SUM(H21:H29),5)</f>
        <v>457906.41</v>
      </c>
      <c r="I30" s="9"/>
      <c r="J30" s="9">
        <f t="shared" si="1"/>
        <v>-22656.19</v>
      </c>
      <c r="L30" s="8"/>
    </row>
    <row r="31" spans="1:12" x14ac:dyDescent="0.25">
      <c r="A31" s="6"/>
      <c r="B31" s="6" t="s">
        <v>11</v>
      </c>
      <c r="C31" s="6"/>
      <c r="D31" s="6"/>
      <c r="E31" s="6"/>
      <c r="F31" s="9"/>
      <c r="G31" s="9"/>
      <c r="H31" s="9"/>
      <c r="I31" s="9"/>
      <c r="J31" s="9"/>
      <c r="L31" s="8"/>
    </row>
    <row r="32" spans="1:12" x14ac:dyDescent="0.25">
      <c r="A32" s="6"/>
      <c r="B32" s="6"/>
      <c r="C32" s="6" t="s">
        <v>61</v>
      </c>
      <c r="D32" s="6"/>
      <c r="E32" s="6"/>
      <c r="F32" s="9">
        <v>2137548.39</v>
      </c>
      <c r="G32" s="9"/>
      <c r="H32" s="9">
        <v>2023947.11</v>
      </c>
      <c r="I32" s="9"/>
      <c r="J32" s="9">
        <f>ROUND((F32-H32),5)</f>
        <v>113601.28</v>
      </c>
      <c r="L32" s="8"/>
    </row>
    <row r="33" spans="1:12" x14ac:dyDescent="0.25">
      <c r="A33" s="6"/>
      <c r="B33" s="6"/>
      <c r="C33" s="6" t="s">
        <v>198</v>
      </c>
      <c r="D33" s="6"/>
      <c r="E33" s="6"/>
      <c r="F33" s="9">
        <v>300216.8</v>
      </c>
      <c r="G33" s="9"/>
      <c r="H33" s="9">
        <v>284296.44</v>
      </c>
      <c r="I33" s="9"/>
      <c r="J33" s="9">
        <f>ROUND((F33-H33),5)</f>
        <v>15920.36</v>
      </c>
      <c r="L33" s="8"/>
    </row>
    <row r="34" spans="1:12" ht="16.5" thickBot="1" x14ac:dyDescent="0.3">
      <c r="A34" s="6"/>
      <c r="B34" s="6"/>
      <c r="C34" s="6" t="s">
        <v>191</v>
      </c>
      <c r="D34" s="6"/>
      <c r="E34" s="6"/>
      <c r="F34" s="11">
        <v>0</v>
      </c>
      <c r="G34" s="9"/>
      <c r="H34" s="11">
        <v>0</v>
      </c>
      <c r="I34" s="9"/>
      <c r="J34" s="11">
        <f>ROUND((F34-H34),5)</f>
        <v>0</v>
      </c>
      <c r="L34" s="8"/>
    </row>
    <row r="35" spans="1:12" ht="16.5" thickBot="1" x14ac:dyDescent="0.3">
      <c r="A35" s="6"/>
      <c r="B35" s="6" t="s">
        <v>12</v>
      </c>
      <c r="C35" s="6"/>
      <c r="D35" s="6"/>
      <c r="E35" s="6"/>
      <c r="F35" s="13">
        <f>ROUND(SUM(F31:F34),5)</f>
        <v>2437765.19</v>
      </c>
      <c r="G35" s="9"/>
      <c r="H35" s="13">
        <f>ROUND(SUM(H31:H34),5)</f>
        <v>2308243.5499999998</v>
      </c>
      <c r="I35" s="9"/>
      <c r="J35" s="13">
        <f>ROUND((F35-H35),5)</f>
        <v>129521.64</v>
      </c>
      <c r="L35" s="8"/>
    </row>
    <row r="36" spans="1:12" s="7" customFormat="1" ht="24" customHeight="1" thickBot="1" x14ac:dyDescent="0.3">
      <c r="A36" s="2" t="s">
        <v>13</v>
      </c>
      <c r="B36" s="2"/>
      <c r="C36" s="2"/>
      <c r="D36" s="2"/>
      <c r="E36" s="2"/>
      <c r="F36" s="18">
        <f>ROUND(F6+F20+F30+F35,5)</f>
        <v>3046487.56</v>
      </c>
      <c r="G36" s="19"/>
      <c r="H36" s="18">
        <f>ROUND(H6+H20+H30+H35,5)</f>
        <v>2798252.49</v>
      </c>
      <c r="I36" s="19"/>
      <c r="J36" s="18">
        <f>ROUND((F36-H36),5)</f>
        <v>248235.07</v>
      </c>
      <c r="L36" s="8"/>
    </row>
    <row r="37" spans="1:12" ht="33" customHeight="1" thickTop="1" x14ac:dyDescent="0.25">
      <c r="A37" s="6" t="s">
        <v>14</v>
      </c>
      <c r="B37" s="6"/>
      <c r="C37" s="6"/>
      <c r="D37" s="6"/>
      <c r="E37" s="6"/>
      <c r="F37" s="9"/>
      <c r="G37" s="9"/>
      <c r="H37" s="9"/>
      <c r="I37" s="9"/>
      <c r="J37" s="9"/>
      <c r="L37" s="8"/>
    </row>
    <row r="38" spans="1:12" x14ac:dyDescent="0.25">
      <c r="A38" s="6"/>
      <c r="B38" s="6" t="s">
        <v>15</v>
      </c>
      <c r="C38" s="6"/>
      <c r="D38" s="6"/>
      <c r="E38" s="6"/>
      <c r="F38" s="9"/>
      <c r="G38" s="9"/>
      <c r="H38" s="9"/>
      <c r="I38" s="9"/>
      <c r="J38" s="9"/>
      <c r="L38" s="8"/>
    </row>
    <row r="39" spans="1:12" x14ac:dyDescent="0.25">
      <c r="A39" s="6"/>
      <c r="B39" s="6"/>
      <c r="C39" s="6" t="s">
        <v>16</v>
      </c>
      <c r="D39" s="6"/>
      <c r="E39" s="6"/>
      <c r="F39" s="9"/>
      <c r="G39" s="9"/>
      <c r="H39" s="9"/>
      <c r="I39" s="9"/>
      <c r="J39" s="9"/>
      <c r="L39" s="8"/>
    </row>
    <row r="40" spans="1:12" x14ac:dyDescent="0.25">
      <c r="A40" s="6"/>
      <c r="B40" s="6"/>
      <c r="C40" s="6"/>
      <c r="D40" s="6" t="s">
        <v>17</v>
      </c>
      <c r="E40" s="6"/>
      <c r="F40" s="9"/>
      <c r="G40" s="9"/>
      <c r="H40" s="9"/>
      <c r="I40" s="9"/>
      <c r="J40" s="9"/>
      <c r="L40" s="8"/>
    </row>
    <row r="41" spans="1:12" ht="16.5" thickBot="1" x14ac:dyDescent="0.3">
      <c r="A41" s="6"/>
      <c r="B41" s="6"/>
      <c r="C41" s="6"/>
      <c r="D41" s="6"/>
      <c r="E41" s="6" t="s">
        <v>62</v>
      </c>
      <c r="F41" s="10">
        <v>35141.629999999997</v>
      </c>
      <c r="G41" s="9"/>
      <c r="H41" s="10">
        <v>99577.51</v>
      </c>
      <c r="I41" s="9"/>
      <c r="J41" s="10">
        <f>ROUND((F41-H41),5)</f>
        <v>-64435.88</v>
      </c>
      <c r="L41" s="8"/>
    </row>
    <row r="42" spans="1:12" x14ac:dyDescent="0.25">
      <c r="A42" s="6"/>
      <c r="B42" s="6"/>
      <c r="C42" s="6"/>
      <c r="D42" s="6" t="s">
        <v>47</v>
      </c>
      <c r="E42" s="6"/>
      <c r="F42" s="9">
        <f>ROUND(SUM(F40:F41),5)</f>
        <v>35141.629999999997</v>
      </c>
      <c r="G42" s="9"/>
      <c r="H42" s="9">
        <f>ROUND(SUM(H40:H41),5)</f>
        <v>99577.51</v>
      </c>
      <c r="I42" s="9"/>
      <c r="J42" s="9">
        <f>ROUND((F42-H42),5)</f>
        <v>-64435.88</v>
      </c>
      <c r="L42" s="8"/>
    </row>
    <row r="43" spans="1:12" x14ac:dyDescent="0.25">
      <c r="A43" s="6"/>
      <c r="B43" s="6"/>
      <c r="C43" s="6"/>
      <c r="D43" s="6" t="s">
        <v>18</v>
      </c>
      <c r="E43" s="6"/>
      <c r="F43" s="9"/>
      <c r="G43" s="9"/>
      <c r="H43" s="9"/>
      <c r="I43" s="9"/>
      <c r="J43" s="9"/>
      <c r="L43" s="8"/>
    </row>
    <row r="44" spans="1:12" ht="16.5" thickBot="1" x14ac:dyDescent="0.3">
      <c r="A44" s="6"/>
      <c r="B44" s="6"/>
      <c r="C44" s="6"/>
      <c r="D44" s="6"/>
      <c r="E44" s="6" t="s">
        <v>63</v>
      </c>
      <c r="F44" s="10">
        <v>20784.72</v>
      </c>
      <c r="G44" s="9"/>
      <c r="H44" s="10">
        <v>1920.19</v>
      </c>
      <c r="I44" s="9"/>
      <c r="J44" s="10">
        <f>ROUND((F44-H44),5)</f>
        <v>18864.53</v>
      </c>
      <c r="L44" s="8"/>
    </row>
    <row r="45" spans="1:12" x14ac:dyDescent="0.25">
      <c r="A45" s="6"/>
      <c r="B45" s="6"/>
      <c r="C45" s="6"/>
      <c r="D45" s="6" t="s">
        <v>48</v>
      </c>
      <c r="E45" s="6"/>
      <c r="F45" s="9">
        <f>ROUND(SUM(F43:F44),5)</f>
        <v>20784.72</v>
      </c>
      <c r="G45" s="9"/>
      <c r="H45" s="9">
        <f>ROUND(SUM(H43:H44),5)</f>
        <v>1920.19</v>
      </c>
      <c r="I45" s="9"/>
      <c r="J45" s="9">
        <f>ROUND((F45-H45),5)</f>
        <v>18864.53</v>
      </c>
      <c r="L45" s="8"/>
    </row>
    <row r="46" spans="1:12" x14ac:dyDescent="0.25">
      <c r="A46" s="6"/>
      <c r="B46" s="6"/>
      <c r="C46" s="6"/>
      <c r="D46" s="6" t="s">
        <v>19</v>
      </c>
      <c r="E46" s="6"/>
      <c r="F46" s="9"/>
      <c r="G46" s="9"/>
      <c r="H46" s="9"/>
      <c r="I46" s="9"/>
      <c r="J46" s="9"/>
      <c r="L46" s="8"/>
    </row>
    <row r="47" spans="1:12" x14ac:dyDescent="0.25">
      <c r="A47" s="6"/>
      <c r="B47" s="6"/>
      <c r="C47" s="6"/>
      <c r="D47" s="6"/>
      <c r="E47" s="6" t="s">
        <v>64</v>
      </c>
      <c r="F47" s="9">
        <v>68900</v>
      </c>
      <c r="G47" s="9"/>
      <c r="H47" s="9">
        <v>55000</v>
      </c>
      <c r="I47" s="9"/>
      <c r="J47" s="9">
        <f t="shared" ref="J47:J55" si="3">ROUND((F47-H47),5)</f>
        <v>13900</v>
      </c>
      <c r="L47" s="8"/>
    </row>
    <row r="48" spans="1:12" ht="30.75" x14ac:dyDescent="0.25">
      <c r="A48" s="6"/>
      <c r="B48" s="6"/>
      <c r="C48" s="6"/>
      <c r="D48" s="6"/>
      <c r="E48" s="6" t="s">
        <v>164</v>
      </c>
      <c r="F48" s="9">
        <v>59872.5</v>
      </c>
      <c r="G48" s="9"/>
      <c r="H48" s="9">
        <v>0</v>
      </c>
      <c r="I48" s="9"/>
      <c r="J48" s="9">
        <f t="shared" si="3"/>
        <v>59872.5</v>
      </c>
      <c r="L48" s="8" t="s">
        <v>181</v>
      </c>
    </row>
    <row r="49" spans="1:12" x14ac:dyDescent="0.25">
      <c r="A49" s="6"/>
      <c r="B49" s="6"/>
      <c r="C49" s="6"/>
      <c r="D49" s="6"/>
      <c r="E49" s="6" t="s">
        <v>65</v>
      </c>
      <c r="F49" s="9">
        <v>18333.330000000002</v>
      </c>
      <c r="G49" s="9"/>
      <c r="H49" s="9">
        <v>20812.27</v>
      </c>
      <c r="I49" s="9"/>
      <c r="J49" s="9">
        <f t="shared" si="3"/>
        <v>-2478.94</v>
      </c>
      <c r="L49" s="8"/>
    </row>
    <row r="50" spans="1:12" x14ac:dyDescent="0.25">
      <c r="A50" s="6"/>
      <c r="B50" s="6"/>
      <c r="C50" s="6"/>
      <c r="D50" s="6"/>
      <c r="E50" s="6" t="s">
        <v>66</v>
      </c>
      <c r="F50" s="9">
        <v>13975.9</v>
      </c>
      <c r="G50" s="9"/>
      <c r="H50" s="9">
        <v>14083.16</v>
      </c>
      <c r="I50" s="9"/>
      <c r="J50" s="9">
        <f t="shared" si="3"/>
        <v>-107.26</v>
      </c>
      <c r="L50" s="8"/>
    </row>
    <row r="51" spans="1:12" ht="30.75" x14ac:dyDescent="0.25">
      <c r="A51" s="6"/>
      <c r="B51" s="6"/>
      <c r="C51" s="6"/>
      <c r="D51" s="6"/>
      <c r="E51" s="6" t="s">
        <v>67</v>
      </c>
      <c r="F51" s="9">
        <v>2696.49</v>
      </c>
      <c r="G51" s="9"/>
      <c r="H51" s="9">
        <v>5846.46</v>
      </c>
      <c r="I51" s="9"/>
      <c r="J51" s="9">
        <f t="shared" si="3"/>
        <v>-3149.97</v>
      </c>
      <c r="L51" s="8" t="s">
        <v>172</v>
      </c>
    </row>
    <row r="52" spans="1:12" x14ac:dyDescent="0.25">
      <c r="A52" s="6"/>
      <c r="B52" s="6"/>
      <c r="C52" s="6"/>
      <c r="D52" s="6"/>
      <c r="E52" s="6" t="s">
        <v>68</v>
      </c>
      <c r="F52" s="9">
        <v>0</v>
      </c>
      <c r="G52" s="9"/>
      <c r="H52" s="9">
        <v>3499</v>
      </c>
      <c r="I52" s="9"/>
      <c r="J52" s="9">
        <f t="shared" si="3"/>
        <v>-3499</v>
      </c>
    </row>
    <row r="53" spans="1:12" ht="31.5" thickBot="1" x14ac:dyDescent="0.3">
      <c r="A53" s="6"/>
      <c r="B53" s="6"/>
      <c r="C53" s="6"/>
      <c r="D53" s="6"/>
      <c r="E53" s="6" t="s">
        <v>142</v>
      </c>
      <c r="F53" s="11">
        <v>65100</v>
      </c>
      <c r="G53" s="9"/>
      <c r="H53" s="11">
        <v>16060.6</v>
      </c>
      <c r="I53" s="9"/>
      <c r="J53" s="11">
        <f t="shared" si="3"/>
        <v>49039.4</v>
      </c>
      <c r="L53" s="28" t="s">
        <v>193</v>
      </c>
    </row>
    <row r="54" spans="1:12" ht="16.5" thickBot="1" x14ac:dyDescent="0.3">
      <c r="A54" s="6"/>
      <c r="B54" s="6"/>
      <c r="C54" s="6"/>
      <c r="D54" s="6" t="s">
        <v>20</v>
      </c>
      <c r="E54" s="6"/>
      <c r="F54" s="12">
        <f>ROUND(SUM(F46:F53),5)</f>
        <v>228878.22</v>
      </c>
      <c r="G54" s="9"/>
      <c r="H54" s="12">
        <f>ROUND(SUM(H46:H53),5)</f>
        <v>115301.49</v>
      </c>
      <c r="I54" s="9"/>
      <c r="J54" s="12">
        <f t="shared" si="3"/>
        <v>113576.73</v>
      </c>
      <c r="L54" s="8"/>
    </row>
    <row r="55" spans="1:12" x14ac:dyDescent="0.25">
      <c r="A55" s="6"/>
      <c r="B55" s="6"/>
      <c r="C55" s="6" t="s">
        <v>21</v>
      </c>
      <c r="D55" s="6"/>
      <c r="E55" s="6"/>
      <c r="F55" s="9">
        <f>ROUND(F39+F42+F45+F54,5)</f>
        <v>284804.57</v>
      </c>
      <c r="G55" s="9"/>
      <c r="H55" s="9">
        <f>ROUND(H39+H42+H45+H54,5)</f>
        <v>216799.19</v>
      </c>
      <c r="I55" s="9"/>
      <c r="J55" s="9">
        <f t="shared" si="3"/>
        <v>68005.38</v>
      </c>
    </row>
    <row r="56" spans="1:12" x14ac:dyDescent="0.25">
      <c r="A56" s="6"/>
      <c r="B56" s="6"/>
      <c r="C56" s="6" t="s">
        <v>22</v>
      </c>
      <c r="D56" s="6"/>
      <c r="E56" s="6"/>
      <c r="F56" s="9"/>
      <c r="G56" s="9"/>
      <c r="H56" s="9"/>
      <c r="I56" s="9"/>
      <c r="J56" s="9"/>
      <c r="L56" s="8"/>
    </row>
    <row r="57" spans="1:12" ht="16.5" thickBot="1" x14ac:dyDescent="0.3">
      <c r="A57" s="6"/>
      <c r="B57" s="6"/>
      <c r="C57" s="6"/>
      <c r="D57" s="6" t="s">
        <v>69</v>
      </c>
      <c r="E57" s="6"/>
      <c r="F57" s="11">
        <v>0</v>
      </c>
      <c r="G57" s="9"/>
      <c r="H57" s="11">
        <v>3058.57</v>
      </c>
      <c r="I57" s="9"/>
      <c r="J57" s="11">
        <f>ROUND((F57-H57),5)</f>
        <v>-3058.57</v>
      </c>
    </row>
    <row r="58" spans="1:12" ht="16.5" thickBot="1" x14ac:dyDescent="0.3">
      <c r="A58" s="6"/>
      <c r="B58" s="6"/>
      <c r="C58" s="6" t="s">
        <v>49</v>
      </c>
      <c r="D58" s="6"/>
      <c r="E58" s="6"/>
      <c r="F58" s="12">
        <f>ROUND(SUM(F56:F57),5)</f>
        <v>0</v>
      </c>
      <c r="G58" s="9"/>
      <c r="H58" s="12">
        <f>ROUND(SUM(H56:H57),5)</f>
        <v>3058.57</v>
      </c>
      <c r="I58" s="9"/>
      <c r="J58" s="12">
        <f>ROUND((F58-H58),5)</f>
        <v>-3058.57</v>
      </c>
    </row>
    <row r="59" spans="1:12" x14ac:dyDescent="0.25">
      <c r="A59" s="6"/>
      <c r="B59" s="6" t="s">
        <v>23</v>
      </c>
      <c r="C59" s="6"/>
      <c r="D59" s="6"/>
      <c r="E59" s="6"/>
      <c r="F59" s="9">
        <f>ROUND(F38+F55+F58,5)</f>
        <v>284804.57</v>
      </c>
      <c r="G59" s="9"/>
      <c r="H59" s="9">
        <f>ROUND(H38+H55+H58,5)</f>
        <v>219857.76</v>
      </c>
      <c r="I59" s="9"/>
      <c r="J59" s="9">
        <f>ROUND((F59-H59),5)</f>
        <v>64946.81</v>
      </c>
    </row>
    <row r="60" spans="1:12" x14ac:dyDescent="0.25">
      <c r="A60" s="6"/>
      <c r="B60" s="6" t="s">
        <v>24</v>
      </c>
      <c r="C60" s="6"/>
      <c r="D60" s="6"/>
      <c r="E60" s="6"/>
      <c r="F60" s="9"/>
      <c r="G60" s="9"/>
      <c r="H60" s="9"/>
      <c r="I60" s="9"/>
      <c r="J60" s="9"/>
    </row>
    <row r="61" spans="1:12" x14ac:dyDescent="0.25">
      <c r="A61" s="6"/>
      <c r="B61" s="6"/>
      <c r="C61" s="6" t="s">
        <v>132</v>
      </c>
      <c r="D61" s="6"/>
      <c r="E61" s="6"/>
      <c r="F61" s="9">
        <f>1853545.88+281212.55+443636.3</f>
        <v>2578394.7299999995</v>
      </c>
      <c r="G61" s="9"/>
      <c r="H61" s="9">
        <f>1976552.12+314206.96+453252.74</f>
        <v>2744011.8200000003</v>
      </c>
      <c r="I61" s="9"/>
      <c r="J61" s="9">
        <f>ROUND((F61-H61),5)</f>
        <v>-165617.09</v>
      </c>
    </row>
    <row r="62" spans="1:12" ht="16.5" thickBot="1" x14ac:dyDescent="0.3">
      <c r="A62" s="6"/>
      <c r="B62" s="6"/>
      <c r="C62" s="6" t="s">
        <v>25</v>
      </c>
      <c r="D62" s="6"/>
      <c r="E62" s="6"/>
      <c r="F62" s="11">
        <f>180616.09+18004.25-15332.08</f>
        <v>183288.26</v>
      </c>
      <c r="G62" s="9"/>
      <c r="H62" s="11">
        <f>-123006.24-32994.41-9616.44</f>
        <v>-165617.09000000003</v>
      </c>
      <c r="I62" s="9"/>
      <c r="J62" s="11">
        <f>ROUND((F62-H62),5)</f>
        <v>348905.35</v>
      </c>
    </row>
    <row r="63" spans="1:12" ht="16.5" thickBot="1" x14ac:dyDescent="0.3">
      <c r="A63" s="6"/>
      <c r="B63" s="6" t="s">
        <v>26</v>
      </c>
      <c r="C63" s="6"/>
      <c r="D63" s="6"/>
      <c r="E63" s="6"/>
      <c r="F63" s="13">
        <f>ROUND(SUM(F60:F62),5)</f>
        <v>2761682.99</v>
      </c>
      <c r="G63" s="9"/>
      <c r="H63" s="13">
        <f>ROUND(SUM(H60:H62),5)</f>
        <v>2578394.73</v>
      </c>
      <c r="I63" s="9"/>
      <c r="J63" s="13">
        <f>ROUND((F63-H63),5)</f>
        <v>183288.26</v>
      </c>
    </row>
    <row r="64" spans="1:12" s="7" customFormat="1" ht="24" customHeight="1" thickBot="1" x14ac:dyDescent="0.3">
      <c r="A64" s="2" t="s">
        <v>27</v>
      </c>
      <c r="B64" s="2"/>
      <c r="C64" s="2"/>
      <c r="D64" s="2"/>
      <c r="E64" s="2"/>
      <c r="F64" s="18">
        <f>ROUND(F37+F59+F63,5)</f>
        <v>3046487.56</v>
      </c>
      <c r="G64" s="19"/>
      <c r="H64" s="18">
        <f>ROUND(H37+H59+H63,5)</f>
        <v>2798252.49</v>
      </c>
      <c r="I64" s="19"/>
      <c r="J64" s="18">
        <f>ROUND((F64-H64),5)</f>
        <v>248235.07</v>
      </c>
    </row>
    <row r="65" spans="6:8" ht="16.5" thickTop="1" x14ac:dyDescent="0.25"/>
    <row r="66" spans="6:8" x14ac:dyDescent="0.25">
      <c r="F66" s="31">
        <f>+F36-F64</f>
        <v>0</v>
      </c>
      <c r="H66" s="31">
        <f>+H36-H64</f>
        <v>0</v>
      </c>
    </row>
  </sheetData>
  <mergeCells count="3">
    <mergeCell ref="A1:L1"/>
    <mergeCell ref="A2:L2"/>
    <mergeCell ref="A3:L3"/>
  </mergeCells>
  <pageMargins left="0.7" right="0.7" top="0.75" bottom="0.75" header="0.1" footer="0.3"/>
  <pageSetup scale="60" fitToHeight="0" orientation="portrait" r:id="rId1"/>
  <headerFooter>
    <oddFooter>&amp;R&amp;"Arial,Bold"&amp;12 Page &amp;P of &amp;N</oddFooter>
  </headerFooter>
  <drawing r:id="rId2"/>
  <legacyDrawing r:id="rId3"/>
  <controls>
    <mc:AlternateContent xmlns:mc="http://schemas.openxmlformats.org/markup-compatibility/2006">
      <mc:Choice Requires="x14">
        <control shapeId="18534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85345" r:id="rId4" name="FILTER"/>
      </mc:Fallback>
    </mc:AlternateContent>
    <mc:AlternateContent xmlns:mc="http://schemas.openxmlformats.org/markup-compatibility/2006">
      <mc:Choice Requires="x14">
        <control shapeId="18534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8534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96"/>
  <sheetViews>
    <sheetView topLeftCell="A67" workbookViewId="0">
      <selection activeCell="F74" sqref="F74"/>
    </sheetView>
  </sheetViews>
  <sheetFormatPr defaultRowHeight="15.75" x14ac:dyDescent="0.25"/>
  <cols>
    <col min="1" max="4" width="3" style="25" customWidth="1"/>
    <col min="5" max="5" width="41.140625" style="25" customWidth="1"/>
    <col min="6" max="6" width="15.42578125" style="26" bestFit="1" customWidth="1"/>
    <col min="7" max="7" width="2.28515625" style="26" customWidth="1"/>
    <col min="8" max="8" width="15.42578125" style="26" bestFit="1" customWidth="1"/>
    <col min="9" max="9" width="2.28515625" style="26" customWidth="1"/>
    <col min="10" max="10" width="13.5703125" style="26" bestFit="1" customWidth="1"/>
    <col min="11" max="11" width="1.28515625" customWidth="1"/>
    <col min="12" max="12" width="46" customWidth="1"/>
  </cols>
  <sheetData>
    <row r="1" spans="1:12" x14ac:dyDescent="0.2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5">
      <c r="A2" s="33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3" t="s">
        <v>194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6.5" thickBot="1" x14ac:dyDescent="0.3">
      <c r="A4" s="6"/>
      <c r="B4" s="6"/>
      <c r="C4" s="6"/>
      <c r="D4" s="6"/>
      <c r="E4" s="6"/>
      <c r="F4" s="21"/>
      <c r="G4" s="20"/>
      <c r="H4" s="21"/>
      <c r="I4" s="20"/>
      <c r="J4" s="21"/>
    </row>
    <row r="5" spans="1:12" s="24" customFormat="1" ht="17.25" thickTop="1" thickBot="1" x14ac:dyDescent="0.3">
      <c r="A5" s="22"/>
      <c r="B5" s="22"/>
      <c r="C5" s="22"/>
      <c r="D5" s="22"/>
      <c r="E5" s="22"/>
      <c r="F5" s="4" t="s">
        <v>195</v>
      </c>
      <c r="G5" s="23"/>
      <c r="H5" s="4" t="s">
        <v>196</v>
      </c>
      <c r="I5" s="23"/>
      <c r="J5" s="4" t="s">
        <v>41</v>
      </c>
      <c r="L5" s="14" t="s">
        <v>40</v>
      </c>
    </row>
    <row r="6" spans="1:12" ht="16.5" thickTop="1" x14ac:dyDescent="0.25">
      <c r="A6" s="6"/>
      <c r="B6" s="6" t="s">
        <v>28</v>
      </c>
      <c r="C6" s="6"/>
      <c r="D6" s="6"/>
      <c r="E6" s="6"/>
      <c r="F6" s="5"/>
      <c r="G6" s="6"/>
      <c r="H6" s="5"/>
      <c r="I6" s="6"/>
      <c r="J6" s="5"/>
    </row>
    <row r="7" spans="1:12" x14ac:dyDescent="0.25">
      <c r="A7" s="6"/>
      <c r="B7" s="6"/>
      <c r="C7" s="6"/>
      <c r="D7" s="6" t="s">
        <v>29</v>
      </c>
      <c r="E7" s="6"/>
      <c r="F7" s="5"/>
      <c r="G7" s="6"/>
      <c r="H7" s="5"/>
      <c r="I7" s="6"/>
      <c r="J7" s="5"/>
    </row>
    <row r="8" spans="1:12" x14ac:dyDescent="0.25">
      <c r="A8" s="6"/>
      <c r="B8" s="6"/>
      <c r="C8" s="6"/>
      <c r="D8" s="6"/>
      <c r="E8" s="6" t="s">
        <v>70</v>
      </c>
      <c r="F8" s="9">
        <v>1369003.9</v>
      </c>
      <c r="G8" s="9"/>
      <c r="H8" s="9">
        <v>1339037.6499999999</v>
      </c>
      <c r="I8" s="9"/>
      <c r="J8" s="9">
        <f t="shared" ref="J8:J28" si="0">ROUND((F8-H8),5)</f>
        <v>29966.25</v>
      </c>
    </row>
    <row r="9" spans="1:12" x14ac:dyDescent="0.25">
      <c r="A9" s="6"/>
      <c r="B9" s="6"/>
      <c r="C9" s="6"/>
      <c r="D9" s="6"/>
      <c r="E9" s="6" t="s">
        <v>71</v>
      </c>
      <c r="F9" s="9">
        <v>15070</v>
      </c>
      <c r="G9" s="9"/>
      <c r="H9" s="9">
        <v>11591.62</v>
      </c>
      <c r="I9" s="9"/>
      <c r="J9" s="9">
        <f t="shared" si="0"/>
        <v>3478.38</v>
      </c>
    </row>
    <row r="10" spans="1:12" x14ac:dyDescent="0.25">
      <c r="A10" s="6"/>
      <c r="B10" s="6"/>
      <c r="C10" s="6"/>
      <c r="D10" s="6"/>
      <c r="E10" s="6" t="s">
        <v>72</v>
      </c>
      <c r="F10" s="9">
        <v>25805</v>
      </c>
      <c r="G10" s="9"/>
      <c r="H10" s="9">
        <v>30414</v>
      </c>
      <c r="I10" s="9"/>
      <c r="J10" s="9">
        <f t="shared" si="0"/>
        <v>-4609</v>
      </c>
    </row>
    <row r="11" spans="1:12" x14ac:dyDescent="0.25">
      <c r="A11" s="6"/>
      <c r="B11" s="6"/>
      <c r="C11" s="6"/>
      <c r="D11" s="6"/>
      <c r="E11" s="6" t="s">
        <v>151</v>
      </c>
      <c r="F11" s="9">
        <v>51581.5</v>
      </c>
      <c r="G11" s="9"/>
      <c r="H11" s="9">
        <v>63035</v>
      </c>
      <c r="I11" s="9"/>
      <c r="J11" s="9">
        <f t="shared" si="0"/>
        <v>-11453.5</v>
      </c>
    </row>
    <row r="12" spans="1:12" x14ac:dyDescent="0.25">
      <c r="A12" s="6"/>
      <c r="B12" s="6"/>
      <c r="C12" s="6"/>
      <c r="D12" s="6"/>
      <c r="E12" s="6" t="s">
        <v>157</v>
      </c>
      <c r="F12" s="9">
        <v>46387.99</v>
      </c>
      <c r="G12" s="9"/>
      <c r="H12" s="9">
        <v>50868</v>
      </c>
      <c r="I12" s="9"/>
      <c r="J12" s="9">
        <f t="shared" si="0"/>
        <v>-4480.01</v>
      </c>
    </row>
    <row r="13" spans="1:12" x14ac:dyDescent="0.25">
      <c r="A13" s="6"/>
      <c r="B13" s="6"/>
      <c r="C13" s="6"/>
      <c r="D13" s="6"/>
      <c r="E13" s="6" t="s">
        <v>182</v>
      </c>
      <c r="F13" s="9">
        <v>85200</v>
      </c>
      <c r="G13" s="9"/>
      <c r="H13" s="9">
        <v>75402.5</v>
      </c>
      <c r="I13" s="9"/>
      <c r="J13" s="9">
        <f t="shared" si="0"/>
        <v>9797.5</v>
      </c>
    </row>
    <row r="14" spans="1:12" x14ac:dyDescent="0.25">
      <c r="A14" s="6"/>
      <c r="B14" s="6"/>
      <c r="C14" s="6"/>
      <c r="D14" s="6"/>
      <c r="E14" s="6" t="s">
        <v>158</v>
      </c>
      <c r="F14" s="9">
        <v>56435</v>
      </c>
      <c r="G14" s="9"/>
      <c r="H14" s="9">
        <v>49900</v>
      </c>
      <c r="I14" s="9"/>
      <c r="J14" s="9">
        <f t="shared" si="0"/>
        <v>6535</v>
      </c>
    </row>
    <row r="15" spans="1:12" x14ac:dyDescent="0.25">
      <c r="A15" s="6"/>
      <c r="B15" s="6"/>
      <c r="C15" s="6"/>
      <c r="D15" s="6"/>
      <c r="E15" s="6" t="s">
        <v>133</v>
      </c>
      <c r="F15" s="9">
        <v>51000</v>
      </c>
      <c r="G15" s="9"/>
      <c r="H15" s="9">
        <v>0</v>
      </c>
      <c r="I15" s="9"/>
      <c r="J15" s="9">
        <f t="shared" si="0"/>
        <v>51000</v>
      </c>
      <c r="L15" s="15" t="s">
        <v>159</v>
      </c>
    </row>
    <row r="16" spans="1:12" x14ac:dyDescent="0.25">
      <c r="A16" s="6"/>
      <c r="B16" s="6"/>
      <c r="C16" s="6"/>
      <c r="D16" s="6"/>
      <c r="E16" s="6" t="s">
        <v>73</v>
      </c>
      <c r="F16" s="9">
        <v>12000</v>
      </c>
      <c r="G16" s="9"/>
      <c r="H16" s="9">
        <v>27000</v>
      </c>
      <c r="I16" s="9"/>
      <c r="J16" s="9">
        <f t="shared" si="0"/>
        <v>-15000</v>
      </c>
      <c r="L16" s="15"/>
    </row>
    <row r="17" spans="1:12" x14ac:dyDescent="0.25">
      <c r="A17" s="6"/>
      <c r="B17" s="6"/>
      <c r="C17" s="6"/>
      <c r="D17" s="6"/>
      <c r="E17" s="6" t="s">
        <v>74</v>
      </c>
      <c r="F17" s="9">
        <v>0</v>
      </c>
      <c r="G17" s="9"/>
      <c r="H17" s="9">
        <v>43100</v>
      </c>
      <c r="I17" s="9"/>
      <c r="J17" s="9">
        <f t="shared" si="0"/>
        <v>-43100</v>
      </c>
      <c r="L17" s="3"/>
    </row>
    <row r="18" spans="1:12" x14ac:dyDescent="0.25">
      <c r="A18" s="6"/>
      <c r="B18" s="6"/>
      <c r="C18" s="6"/>
      <c r="D18" s="6"/>
      <c r="E18" s="6" t="s">
        <v>75</v>
      </c>
      <c r="F18" s="9">
        <v>18000</v>
      </c>
      <c r="G18" s="9"/>
      <c r="H18" s="9">
        <v>9500</v>
      </c>
      <c r="I18" s="9"/>
      <c r="J18" s="9">
        <f t="shared" si="0"/>
        <v>8500</v>
      </c>
    </row>
    <row r="19" spans="1:12" ht="30.75" x14ac:dyDescent="0.25">
      <c r="A19" s="6"/>
      <c r="B19" s="6"/>
      <c r="C19" s="6"/>
      <c r="D19" s="6"/>
      <c r="E19" s="6" t="s">
        <v>77</v>
      </c>
      <c r="F19" s="9">
        <v>66696.350000000006</v>
      </c>
      <c r="G19" s="9"/>
      <c r="H19" s="9">
        <v>11735.6</v>
      </c>
      <c r="I19" s="9"/>
      <c r="J19" s="9">
        <f t="shared" si="0"/>
        <v>54960.75</v>
      </c>
      <c r="L19" s="15" t="s">
        <v>177</v>
      </c>
    </row>
    <row r="20" spans="1:12" x14ac:dyDescent="0.25">
      <c r="A20" s="6"/>
      <c r="B20" s="6"/>
      <c r="C20" s="6"/>
      <c r="D20" s="6"/>
      <c r="E20" s="6" t="s">
        <v>78</v>
      </c>
      <c r="F20" s="9">
        <v>575</v>
      </c>
      <c r="G20" s="9"/>
      <c r="H20" s="9">
        <v>11.69</v>
      </c>
      <c r="I20" s="9"/>
      <c r="J20" s="9">
        <f t="shared" si="0"/>
        <v>563.30999999999995</v>
      </c>
    </row>
    <row r="21" spans="1:12" x14ac:dyDescent="0.25">
      <c r="A21" s="6"/>
      <c r="B21" s="6"/>
      <c r="C21" s="6"/>
      <c r="D21" s="6"/>
      <c r="E21" s="6" t="s">
        <v>136</v>
      </c>
      <c r="F21" s="9">
        <v>5296.24</v>
      </c>
      <c r="G21" s="9"/>
      <c r="H21" s="9">
        <v>5155.53</v>
      </c>
      <c r="I21" s="9"/>
      <c r="J21" s="9">
        <f t="shared" si="0"/>
        <v>140.71</v>
      </c>
      <c r="L21" s="15"/>
    </row>
    <row r="22" spans="1:12" x14ac:dyDescent="0.25">
      <c r="A22" s="6"/>
      <c r="B22" s="6"/>
      <c r="C22" s="6"/>
      <c r="D22" s="6"/>
      <c r="E22" s="6" t="s">
        <v>79</v>
      </c>
      <c r="F22" s="9">
        <v>8103.25</v>
      </c>
      <c r="G22" s="9"/>
      <c r="H22" s="9">
        <v>7999</v>
      </c>
      <c r="I22" s="9"/>
      <c r="J22" s="9">
        <f t="shared" si="0"/>
        <v>104.25</v>
      </c>
      <c r="L22" s="15"/>
    </row>
    <row r="23" spans="1:12" x14ac:dyDescent="0.25">
      <c r="A23" s="6"/>
      <c r="B23" s="6"/>
      <c r="C23" s="6"/>
      <c r="D23" s="6"/>
      <c r="E23" s="6" t="s">
        <v>167</v>
      </c>
      <c r="F23" s="9">
        <v>4000</v>
      </c>
      <c r="G23" s="9"/>
      <c r="H23" s="9">
        <v>4000</v>
      </c>
      <c r="I23" s="9"/>
      <c r="J23" s="9">
        <f t="shared" si="0"/>
        <v>0</v>
      </c>
      <c r="L23" s="15"/>
    </row>
    <row r="24" spans="1:12" x14ac:dyDescent="0.25">
      <c r="A24" s="6"/>
      <c r="B24" s="6"/>
      <c r="C24" s="6"/>
      <c r="D24" s="6"/>
      <c r="E24" s="6" t="s">
        <v>80</v>
      </c>
      <c r="F24" s="9">
        <v>1570</v>
      </c>
      <c r="G24" s="9"/>
      <c r="H24" s="9">
        <v>640</v>
      </c>
      <c r="I24" s="9"/>
      <c r="J24" s="9">
        <f t="shared" si="0"/>
        <v>930</v>
      </c>
      <c r="L24" s="15"/>
    </row>
    <row r="25" spans="1:12" x14ac:dyDescent="0.25">
      <c r="A25" s="6"/>
      <c r="B25" s="6"/>
      <c r="C25" s="6"/>
      <c r="D25" s="6"/>
      <c r="E25" s="6" t="s">
        <v>81</v>
      </c>
      <c r="F25" s="9">
        <v>6600</v>
      </c>
      <c r="G25" s="9"/>
      <c r="H25" s="9">
        <v>6600</v>
      </c>
      <c r="I25" s="9"/>
      <c r="J25" s="9">
        <f t="shared" si="0"/>
        <v>0</v>
      </c>
      <c r="L25" s="15"/>
    </row>
    <row r="26" spans="1:12" ht="16.5" thickBot="1" x14ac:dyDescent="0.3">
      <c r="A26" s="6"/>
      <c r="B26" s="6"/>
      <c r="C26" s="6"/>
      <c r="D26" s="6"/>
      <c r="E26" s="6" t="s">
        <v>82</v>
      </c>
      <c r="F26" s="11">
        <v>1618.83</v>
      </c>
      <c r="G26" s="9"/>
      <c r="H26" s="11">
        <v>1547.02</v>
      </c>
      <c r="I26" s="9"/>
      <c r="J26" s="11">
        <f t="shared" si="0"/>
        <v>71.81</v>
      </c>
      <c r="L26" s="15"/>
    </row>
    <row r="27" spans="1:12" ht="16.5" thickBot="1" x14ac:dyDescent="0.3">
      <c r="A27" s="6"/>
      <c r="B27" s="6"/>
      <c r="C27" s="6"/>
      <c r="D27" s="6" t="s">
        <v>30</v>
      </c>
      <c r="E27" s="6"/>
      <c r="F27" s="12">
        <f>ROUND(SUM(F7:F26),5)</f>
        <v>1824943.06</v>
      </c>
      <c r="G27" s="9"/>
      <c r="H27" s="12">
        <f>ROUND(SUM(H7:H26),5)</f>
        <v>1737537.61</v>
      </c>
      <c r="I27" s="9"/>
      <c r="J27" s="12">
        <f t="shared" si="0"/>
        <v>87405.45</v>
      </c>
      <c r="L27" s="3"/>
    </row>
    <row r="28" spans="1:12" x14ac:dyDescent="0.25">
      <c r="A28" s="6"/>
      <c r="B28" s="6"/>
      <c r="C28" s="6" t="s">
        <v>31</v>
      </c>
      <c r="D28" s="6"/>
      <c r="E28" s="6"/>
      <c r="F28" s="9">
        <f>F27</f>
        <v>1824943.06</v>
      </c>
      <c r="G28" s="9"/>
      <c r="H28" s="9">
        <f>H27</f>
        <v>1737537.61</v>
      </c>
      <c r="I28" s="9"/>
      <c r="J28" s="9">
        <f t="shared" si="0"/>
        <v>87405.45</v>
      </c>
      <c r="L28" s="3"/>
    </row>
    <row r="29" spans="1:12" x14ac:dyDescent="0.25">
      <c r="A29" s="6"/>
      <c r="B29" s="6"/>
      <c r="C29" s="6"/>
      <c r="D29" s="6" t="s">
        <v>32</v>
      </c>
      <c r="E29" s="6"/>
      <c r="F29" s="9"/>
      <c r="G29" s="9"/>
      <c r="H29" s="9"/>
      <c r="I29" s="9"/>
      <c r="J29" s="9"/>
      <c r="L29" s="3"/>
    </row>
    <row r="30" spans="1:12" x14ac:dyDescent="0.25">
      <c r="A30" s="6"/>
      <c r="B30" s="6"/>
      <c r="C30" s="6"/>
      <c r="D30" s="6"/>
      <c r="E30" s="6" t="s">
        <v>183</v>
      </c>
      <c r="F30" s="9">
        <v>302.45</v>
      </c>
      <c r="G30" s="9"/>
      <c r="H30" s="9">
        <v>0</v>
      </c>
      <c r="I30" s="9"/>
      <c r="J30" s="9">
        <f t="shared" ref="J30:J61" si="1">ROUND((F30-H30),5)</f>
        <v>302.45</v>
      </c>
      <c r="L30" s="3"/>
    </row>
    <row r="31" spans="1:12" x14ac:dyDescent="0.25">
      <c r="A31" s="6"/>
      <c r="B31" s="6"/>
      <c r="C31" s="6"/>
      <c r="D31" s="6"/>
      <c r="E31" s="6" t="s">
        <v>83</v>
      </c>
      <c r="F31" s="9">
        <v>20505.78</v>
      </c>
      <c r="G31" s="9"/>
      <c r="H31" s="9">
        <v>19496.79</v>
      </c>
      <c r="I31" s="9"/>
      <c r="J31" s="9">
        <f t="shared" si="1"/>
        <v>1008.99</v>
      </c>
      <c r="L31" s="3"/>
    </row>
    <row r="32" spans="1:12" x14ac:dyDescent="0.25">
      <c r="A32" s="6"/>
      <c r="B32" s="6"/>
      <c r="C32" s="6"/>
      <c r="D32" s="6"/>
      <c r="E32" s="6" t="s">
        <v>84</v>
      </c>
      <c r="F32" s="9">
        <v>57238.8</v>
      </c>
      <c r="G32" s="9"/>
      <c r="H32" s="9">
        <v>56600.38</v>
      </c>
      <c r="I32" s="9"/>
      <c r="J32" s="9">
        <f t="shared" si="1"/>
        <v>638.41999999999996</v>
      </c>
      <c r="L32" s="3"/>
    </row>
    <row r="33" spans="1:12" x14ac:dyDescent="0.25">
      <c r="A33" s="6"/>
      <c r="B33" s="6"/>
      <c r="C33" s="6"/>
      <c r="D33" s="6"/>
      <c r="E33" s="6" t="s">
        <v>175</v>
      </c>
      <c r="F33" s="9">
        <v>79365.039999999994</v>
      </c>
      <c r="G33" s="9"/>
      <c r="H33" s="9">
        <v>72502.759999999995</v>
      </c>
      <c r="I33" s="9"/>
      <c r="J33" s="9">
        <f t="shared" si="1"/>
        <v>6862.28</v>
      </c>
    </row>
    <row r="34" spans="1:12" x14ac:dyDescent="0.25">
      <c r="A34" s="6"/>
      <c r="B34" s="6"/>
      <c r="C34" s="6"/>
      <c r="D34" s="6"/>
      <c r="E34" s="6" t="s">
        <v>134</v>
      </c>
      <c r="F34" s="9">
        <v>42383.69</v>
      </c>
      <c r="G34" s="9"/>
      <c r="H34" s="9">
        <v>1228</v>
      </c>
      <c r="I34" s="9"/>
      <c r="J34" s="9">
        <f t="shared" si="1"/>
        <v>41155.69</v>
      </c>
      <c r="L34" s="15" t="s">
        <v>153</v>
      </c>
    </row>
    <row r="35" spans="1:12" x14ac:dyDescent="0.25">
      <c r="A35" s="6"/>
      <c r="B35" s="6"/>
      <c r="C35" s="6"/>
      <c r="D35" s="6"/>
      <c r="E35" s="6" t="s">
        <v>176</v>
      </c>
      <c r="F35" s="9">
        <v>12000</v>
      </c>
      <c r="G35" s="9"/>
      <c r="H35" s="9">
        <f>30000+27000</f>
        <v>57000</v>
      </c>
      <c r="I35" s="9"/>
      <c r="J35" s="9">
        <f t="shared" si="1"/>
        <v>-45000</v>
      </c>
      <c r="L35" s="15"/>
    </row>
    <row r="36" spans="1:12" x14ac:dyDescent="0.25">
      <c r="A36" s="6"/>
      <c r="B36" s="6"/>
      <c r="C36" s="6"/>
      <c r="D36" s="6"/>
      <c r="E36" s="6" t="s">
        <v>85</v>
      </c>
      <c r="F36" s="9">
        <v>0</v>
      </c>
      <c r="G36" s="9"/>
      <c r="H36" s="9">
        <v>45345.01</v>
      </c>
      <c r="I36" s="9"/>
      <c r="J36" s="9">
        <f t="shared" si="1"/>
        <v>-45345.01</v>
      </c>
    </row>
    <row r="37" spans="1:12" x14ac:dyDescent="0.25">
      <c r="A37" s="6"/>
      <c r="B37" s="6"/>
      <c r="C37" s="6"/>
      <c r="D37" s="6"/>
      <c r="E37" s="6" t="s">
        <v>86</v>
      </c>
      <c r="F37" s="9">
        <v>0</v>
      </c>
      <c r="G37" s="9"/>
      <c r="H37" s="9">
        <v>4775</v>
      </c>
      <c r="I37" s="9"/>
      <c r="J37" s="9">
        <f t="shared" si="1"/>
        <v>-4775</v>
      </c>
    </row>
    <row r="38" spans="1:12" x14ac:dyDescent="0.25">
      <c r="A38" s="6"/>
      <c r="B38" s="6"/>
      <c r="C38" s="6"/>
      <c r="D38" s="6"/>
      <c r="E38" s="6" t="s">
        <v>87</v>
      </c>
      <c r="F38" s="9">
        <v>770.16</v>
      </c>
      <c r="G38" s="9"/>
      <c r="H38" s="9">
        <v>47736.42</v>
      </c>
      <c r="I38" s="9"/>
      <c r="J38" s="9">
        <f t="shared" si="1"/>
        <v>-46966.26</v>
      </c>
      <c r="L38" s="3" t="s">
        <v>165</v>
      </c>
    </row>
    <row r="39" spans="1:12" ht="45.75" x14ac:dyDescent="0.25">
      <c r="A39" s="6"/>
      <c r="B39" s="6"/>
      <c r="C39" s="6"/>
      <c r="D39" s="6"/>
      <c r="E39" s="6" t="s">
        <v>88</v>
      </c>
      <c r="F39" s="9">
        <v>84529.1</v>
      </c>
      <c r="G39" s="9"/>
      <c r="H39" s="9">
        <v>6335.6</v>
      </c>
      <c r="I39" s="9"/>
      <c r="J39" s="9">
        <f t="shared" si="1"/>
        <v>78193.5</v>
      </c>
      <c r="L39" s="15" t="s">
        <v>184</v>
      </c>
    </row>
    <row r="40" spans="1:12" ht="30.75" x14ac:dyDescent="0.25">
      <c r="A40" s="6"/>
      <c r="B40" s="6"/>
      <c r="C40" s="6"/>
      <c r="D40" s="6"/>
      <c r="E40" s="6" t="s">
        <v>89</v>
      </c>
      <c r="F40" s="9">
        <v>627270.81999999995</v>
      </c>
      <c r="G40" s="9"/>
      <c r="H40" s="9">
        <v>651005</v>
      </c>
      <c r="I40" s="9"/>
      <c r="J40" s="9">
        <f t="shared" si="1"/>
        <v>-23734.18</v>
      </c>
      <c r="L40" s="15" t="s">
        <v>169</v>
      </c>
    </row>
    <row r="41" spans="1:12" x14ac:dyDescent="0.25">
      <c r="A41" s="6"/>
      <c r="B41" s="6"/>
      <c r="C41" s="6"/>
      <c r="D41" s="6"/>
      <c r="E41" s="6" t="s">
        <v>152</v>
      </c>
      <c r="F41" s="9">
        <v>10296.969999999999</v>
      </c>
      <c r="G41" s="9"/>
      <c r="H41" s="9">
        <v>19651.8</v>
      </c>
      <c r="I41" s="9"/>
      <c r="J41" s="9">
        <f t="shared" si="1"/>
        <v>-9354.83</v>
      </c>
      <c r="L41" s="15"/>
    </row>
    <row r="42" spans="1:12" x14ac:dyDescent="0.25">
      <c r="A42" s="6"/>
      <c r="B42" s="6"/>
      <c r="C42" s="6"/>
      <c r="D42" s="6"/>
      <c r="E42" s="6" t="s">
        <v>90</v>
      </c>
      <c r="F42" s="9">
        <v>50766.62</v>
      </c>
      <c r="G42" s="9"/>
      <c r="H42" s="9">
        <v>54476.29</v>
      </c>
      <c r="I42" s="9"/>
      <c r="J42" s="9">
        <f t="shared" si="1"/>
        <v>-3709.67</v>
      </c>
      <c r="L42" s="15"/>
    </row>
    <row r="43" spans="1:12" x14ac:dyDescent="0.25">
      <c r="A43" s="6"/>
      <c r="B43" s="6"/>
      <c r="C43" s="6"/>
      <c r="D43" s="6"/>
      <c r="E43" s="6" t="s">
        <v>91</v>
      </c>
      <c r="F43" s="9">
        <v>2748.64</v>
      </c>
      <c r="G43" s="9"/>
      <c r="H43" s="9">
        <v>2169.94</v>
      </c>
      <c r="I43" s="9"/>
      <c r="J43" s="9">
        <f t="shared" si="1"/>
        <v>578.70000000000005</v>
      </c>
      <c r="L43" s="15"/>
    </row>
    <row r="44" spans="1:12" x14ac:dyDescent="0.25">
      <c r="A44" s="6"/>
      <c r="B44" s="6"/>
      <c r="C44" s="6"/>
      <c r="D44" s="6"/>
      <c r="E44" s="6" t="s">
        <v>92</v>
      </c>
      <c r="F44" s="9">
        <v>68806.080000000002</v>
      </c>
      <c r="G44" s="9"/>
      <c r="H44" s="9">
        <v>69079.08</v>
      </c>
      <c r="I44" s="9"/>
      <c r="J44" s="9">
        <f t="shared" si="1"/>
        <v>-273</v>
      </c>
      <c r="L44" s="15"/>
    </row>
    <row r="45" spans="1:12" x14ac:dyDescent="0.25">
      <c r="A45" s="6"/>
      <c r="B45" s="6"/>
      <c r="C45" s="6"/>
      <c r="D45" s="6"/>
      <c r="E45" s="6" t="s">
        <v>93</v>
      </c>
      <c r="F45" s="9">
        <v>24841.75</v>
      </c>
      <c r="G45" s="9"/>
      <c r="H45" s="9">
        <v>33043.74</v>
      </c>
      <c r="I45" s="9"/>
      <c r="J45" s="9">
        <f t="shared" si="1"/>
        <v>-8201.99</v>
      </c>
      <c r="L45" s="15"/>
    </row>
    <row r="46" spans="1:12" x14ac:dyDescent="0.25">
      <c r="A46" s="6"/>
      <c r="B46" s="6"/>
      <c r="C46" s="6"/>
      <c r="D46" s="6"/>
      <c r="E46" s="6" t="s">
        <v>94</v>
      </c>
      <c r="F46" s="9">
        <v>12341.53</v>
      </c>
      <c r="G46" s="9"/>
      <c r="H46" s="9">
        <v>14986.92</v>
      </c>
      <c r="I46" s="9"/>
      <c r="J46" s="9">
        <f t="shared" si="1"/>
        <v>-2645.39</v>
      </c>
      <c r="L46" s="15"/>
    </row>
    <row r="47" spans="1:12" x14ac:dyDescent="0.25">
      <c r="A47" s="6"/>
      <c r="B47" s="6"/>
      <c r="C47" s="6"/>
      <c r="D47" s="6"/>
      <c r="E47" s="6" t="s">
        <v>95</v>
      </c>
      <c r="F47" s="9">
        <v>5993</v>
      </c>
      <c r="G47" s="9"/>
      <c r="H47" s="9">
        <v>6859.47</v>
      </c>
      <c r="I47" s="9"/>
      <c r="J47" s="9">
        <f t="shared" si="1"/>
        <v>-866.47</v>
      </c>
    </row>
    <row r="48" spans="1:12" ht="30.75" x14ac:dyDescent="0.25">
      <c r="A48" s="6"/>
      <c r="B48" s="6"/>
      <c r="C48" s="6"/>
      <c r="D48" s="6"/>
      <c r="E48" s="6" t="s">
        <v>96</v>
      </c>
      <c r="F48" s="9">
        <v>52029.69</v>
      </c>
      <c r="G48" s="9"/>
      <c r="H48" s="9">
        <f>38481.89+91.89</f>
        <v>38573.78</v>
      </c>
      <c r="I48" s="9"/>
      <c r="J48" s="9">
        <f t="shared" si="1"/>
        <v>13455.91</v>
      </c>
      <c r="L48" s="15" t="s">
        <v>173</v>
      </c>
    </row>
    <row r="49" spans="1:12" x14ac:dyDescent="0.25">
      <c r="A49" s="6"/>
      <c r="B49" s="6"/>
      <c r="C49" s="6"/>
      <c r="D49" s="6"/>
      <c r="E49" s="6" t="s">
        <v>137</v>
      </c>
      <c r="F49" s="9">
        <v>0</v>
      </c>
      <c r="G49" s="9"/>
      <c r="H49" s="9">
        <v>23505</v>
      </c>
      <c r="I49" s="9"/>
      <c r="J49" s="9">
        <f t="shared" si="1"/>
        <v>-23505</v>
      </c>
      <c r="L49" s="15"/>
    </row>
    <row r="50" spans="1:12" x14ac:dyDescent="0.25">
      <c r="A50" s="6"/>
      <c r="B50" s="6"/>
      <c r="C50" s="6"/>
      <c r="D50" s="6"/>
      <c r="E50" s="6" t="s">
        <v>97</v>
      </c>
      <c r="F50" s="9">
        <v>222361.35</v>
      </c>
      <c r="G50" s="9"/>
      <c r="H50" s="9">
        <v>219595.17</v>
      </c>
      <c r="I50" s="9"/>
      <c r="J50" s="9">
        <f t="shared" si="1"/>
        <v>2766.18</v>
      </c>
      <c r="L50" s="17"/>
    </row>
    <row r="51" spans="1:12" x14ac:dyDescent="0.25">
      <c r="A51" s="6"/>
      <c r="B51" s="6"/>
      <c r="C51" s="6"/>
      <c r="D51" s="6"/>
      <c r="E51" s="6" t="s">
        <v>98</v>
      </c>
      <c r="F51" s="9">
        <f>45188.95+1000</f>
        <v>46188.95</v>
      </c>
      <c r="G51" s="9"/>
      <c r="H51" s="9">
        <f>30400+1400</f>
        <v>31800</v>
      </c>
      <c r="I51" s="9"/>
      <c r="J51" s="9">
        <f t="shared" si="1"/>
        <v>14388.95</v>
      </c>
    </row>
    <row r="52" spans="1:12" ht="30.75" x14ac:dyDescent="0.25">
      <c r="A52" s="6"/>
      <c r="B52" s="6"/>
      <c r="C52" s="6"/>
      <c r="D52" s="6"/>
      <c r="E52" s="6" t="s">
        <v>99</v>
      </c>
      <c r="F52" s="9">
        <v>83076.59</v>
      </c>
      <c r="G52" s="9"/>
      <c r="H52" s="9">
        <v>110836.29</v>
      </c>
      <c r="I52" s="9"/>
      <c r="J52" s="9">
        <f t="shared" si="1"/>
        <v>-27759.7</v>
      </c>
      <c r="L52" s="15" t="s">
        <v>135</v>
      </c>
    </row>
    <row r="53" spans="1:12" x14ac:dyDescent="0.25">
      <c r="A53" s="6"/>
      <c r="B53" s="6"/>
      <c r="C53" s="6"/>
      <c r="D53" s="6"/>
      <c r="E53" s="6" t="s">
        <v>100</v>
      </c>
      <c r="F53" s="9">
        <v>11110.87</v>
      </c>
      <c r="G53" s="9"/>
      <c r="H53" s="9">
        <v>12684.65</v>
      </c>
      <c r="I53" s="9"/>
      <c r="J53" s="9">
        <f t="shared" si="1"/>
        <v>-1573.78</v>
      </c>
      <c r="L53" s="15"/>
    </row>
    <row r="54" spans="1:12" x14ac:dyDescent="0.25">
      <c r="A54" s="6"/>
      <c r="B54" s="6"/>
      <c r="C54" s="6"/>
      <c r="D54" s="6"/>
      <c r="E54" s="6" t="s">
        <v>101</v>
      </c>
      <c r="F54" s="9">
        <v>13120.78</v>
      </c>
      <c r="G54" s="9"/>
      <c r="H54" s="9">
        <v>17184.53</v>
      </c>
      <c r="I54" s="9"/>
      <c r="J54" s="9">
        <f t="shared" si="1"/>
        <v>-4063.75</v>
      </c>
      <c r="L54" s="15"/>
    </row>
    <row r="55" spans="1:12" x14ac:dyDescent="0.25">
      <c r="A55" s="6"/>
      <c r="B55" s="6"/>
      <c r="C55" s="6"/>
      <c r="D55" s="6"/>
      <c r="E55" s="6" t="s">
        <v>102</v>
      </c>
      <c r="F55" s="9">
        <v>8100.59</v>
      </c>
      <c r="G55" s="9"/>
      <c r="H55" s="9">
        <v>8897.4599999999991</v>
      </c>
      <c r="I55" s="9"/>
      <c r="J55" s="9">
        <f t="shared" si="1"/>
        <v>-796.87</v>
      </c>
      <c r="L55" s="15"/>
    </row>
    <row r="56" spans="1:12" x14ac:dyDescent="0.25">
      <c r="A56" s="6"/>
      <c r="B56" s="6"/>
      <c r="C56" s="6"/>
      <c r="D56" s="6"/>
      <c r="E56" s="6" t="s">
        <v>103</v>
      </c>
      <c r="F56" s="9">
        <v>1090.5</v>
      </c>
      <c r="G56" s="9"/>
      <c r="H56" s="9">
        <v>540.62</v>
      </c>
      <c r="I56" s="9"/>
      <c r="J56" s="9">
        <f t="shared" si="1"/>
        <v>549.88</v>
      </c>
      <c r="L56" s="15"/>
    </row>
    <row r="57" spans="1:12" x14ac:dyDescent="0.25">
      <c r="A57" s="6"/>
      <c r="B57" s="6"/>
      <c r="C57" s="6"/>
      <c r="D57" s="6"/>
      <c r="E57" s="6" t="s">
        <v>104</v>
      </c>
      <c r="F57" s="9">
        <v>11294.23</v>
      </c>
      <c r="G57" s="9"/>
      <c r="H57" s="9">
        <v>3965.65</v>
      </c>
      <c r="I57" s="9"/>
      <c r="J57" s="9">
        <f t="shared" si="1"/>
        <v>7328.58</v>
      </c>
      <c r="L57" s="15"/>
    </row>
    <row r="58" spans="1:12" x14ac:dyDescent="0.25">
      <c r="A58" s="6"/>
      <c r="B58" s="6"/>
      <c r="C58" s="6"/>
      <c r="D58" s="6"/>
      <c r="E58" s="6" t="s">
        <v>105</v>
      </c>
      <c r="F58" s="9">
        <v>2333.7600000000002</v>
      </c>
      <c r="G58" s="9"/>
      <c r="H58" s="9">
        <v>2333.7600000000002</v>
      </c>
      <c r="I58" s="9"/>
      <c r="J58" s="9">
        <f t="shared" si="1"/>
        <v>0</v>
      </c>
      <c r="L58" s="15"/>
    </row>
    <row r="59" spans="1:12" x14ac:dyDescent="0.25">
      <c r="A59" s="6"/>
      <c r="B59" s="6"/>
      <c r="C59" s="6"/>
      <c r="D59" s="6"/>
      <c r="E59" s="6" t="s">
        <v>106</v>
      </c>
      <c r="F59" s="9">
        <v>3381.95</v>
      </c>
      <c r="G59" s="9"/>
      <c r="H59" s="9">
        <v>4065.65</v>
      </c>
      <c r="I59" s="9"/>
      <c r="J59" s="9">
        <f t="shared" si="1"/>
        <v>-683.7</v>
      </c>
      <c r="L59" s="15"/>
    </row>
    <row r="60" spans="1:12" x14ac:dyDescent="0.25">
      <c r="A60" s="6"/>
      <c r="B60" s="6"/>
      <c r="C60" s="6"/>
      <c r="D60" s="6"/>
      <c r="E60" s="6" t="s">
        <v>107</v>
      </c>
      <c r="F60" s="9">
        <v>1170.45</v>
      </c>
      <c r="G60" s="9"/>
      <c r="H60" s="9">
        <v>8019.8</v>
      </c>
      <c r="I60" s="9"/>
      <c r="J60" s="9">
        <f t="shared" si="1"/>
        <v>-6849.35</v>
      </c>
      <c r="L60" s="17"/>
    </row>
    <row r="61" spans="1:12" x14ac:dyDescent="0.25">
      <c r="A61" s="6"/>
      <c r="B61" s="6"/>
      <c r="C61" s="6"/>
      <c r="D61" s="6"/>
      <c r="E61" s="6" t="s">
        <v>108</v>
      </c>
      <c r="F61" s="9">
        <v>481.9</v>
      </c>
      <c r="G61" s="9"/>
      <c r="H61" s="9">
        <v>419.54</v>
      </c>
      <c r="I61" s="9"/>
      <c r="J61" s="9">
        <f t="shared" si="1"/>
        <v>62.36</v>
      </c>
      <c r="L61" s="17"/>
    </row>
    <row r="62" spans="1:12" x14ac:dyDescent="0.25">
      <c r="A62" s="6"/>
      <c r="B62" s="6"/>
      <c r="C62" s="6"/>
      <c r="D62" s="6"/>
      <c r="E62" s="6" t="s">
        <v>109</v>
      </c>
      <c r="F62" s="9">
        <v>5333.33</v>
      </c>
      <c r="G62" s="9"/>
      <c r="H62" s="9">
        <v>5600</v>
      </c>
      <c r="I62" s="9"/>
      <c r="J62" s="9">
        <f t="shared" ref="J62:J83" si="2">ROUND((F62-H62),5)</f>
        <v>-266.67</v>
      </c>
      <c r="L62" s="15"/>
    </row>
    <row r="63" spans="1:12" x14ac:dyDescent="0.25">
      <c r="A63" s="6"/>
      <c r="B63" s="6"/>
      <c r="C63" s="6"/>
      <c r="D63" s="6"/>
      <c r="E63" s="6" t="s">
        <v>138</v>
      </c>
      <c r="F63" s="9">
        <v>4305</v>
      </c>
      <c r="G63" s="9"/>
      <c r="H63" s="9">
        <v>3750</v>
      </c>
      <c r="I63" s="9"/>
      <c r="J63" s="9">
        <f t="shared" si="2"/>
        <v>555</v>
      </c>
      <c r="L63" s="15"/>
    </row>
    <row r="64" spans="1:12" x14ac:dyDescent="0.25">
      <c r="A64" s="6"/>
      <c r="B64" s="6"/>
      <c r="C64" s="6"/>
      <c r="D64" s="6"/>
      <c r="E64" s="6" t="s">
        <v>179</v>
      </c>
      <c r="F64" s="9">
        <f>100</f>
        <v>100</v>
      </c>
      <c r="G64" s="9"/>
      <c r="H64" s="9">
        <f>200+100</f>
        <v>300</v>
      </c>
      <c r="I64" s="9"/>
      <c r="J64" s="9">
        <f t="shared" si="2"/>
        <v>-200</v>
      </c>
      <c r="L64" s="15"/>
    </row>
    <row r="65" spans="1:12" x14ac:dyDescent="0.25">
      <c r="A65" s="6"/>
      <c r="B65" s="6"/>
      <c r="C65" s="6"/>
      <c r="D65" s="6"/>
      <c r="E65" s="6" t="s">
        <v>110</v>
      </c>
      <c r="F65" s="9">
        <v>0</v>
      </c>
      <c r="G65" s="9"/>
      <c r="H65" s="9">
        <v>125</v>
      </c>
      <c r="I65" s="9"/>
      <c r="J65" s="9">
        <f t="shared" si="2"/>
        <v>-125</v>
      </c>
    </row>
    <row r="66" spans="1:12" x14ac:dyDescent="0.25">
      <c r="A66" s="6"/>
      <c r="B66" s="6"/>
      <c r="C66" s="6"/>
      <c r="D66" s="6"/>
      <c r="E66" s="6" t="s">
        <v>111</v>
      </c>
      <c r="F66" s="9">
        <v>13518.64</v>
      </c>
      <c r="G66" s="9"/>
      <c r="H66" s="9">
        <v>21859</v>
      </c>
      <c r="I66" s="9"/>
      <c r="J66" s="9">
        <f t="shared" si="2"/>
        <v>-8340.36</v>
      </c>
    </row>
    <row r="67" spans="1:12" x14ac:dyDescent="0.25">
      <c r="A67" s="6"/>
      <c r="B67" s="6"/>
      <c r="C67" s="6"/>
      <c r="D67" s="6"/>
      <c r="E67" s="6" t="s">
        <v>112</v>
      </c>
      <c r="F67" s="9">
        <v>7853.06</v>
      </c>
      <c r="G67" s="9"/>
      <c r="H67" s="9">
        <v>7953.24</v>
      </c>
      <c r="I67" s="9"/>
      <c r="J67" s="9">
        <f t="shared" si="2"/>
        <v>-100.18</v>
      </c>
      <c r="L67" s="15"/>
    </row>
    <row r="68" spans="1:12" x14ac:dyDescent="0.25">
      <c r="A68" s="6"/>
      <c r="B68" s="6"/>
      <c r="C68" s="6"/>
      <c r="D68" s="6"/>
      <c r="E68" s="6" t="s">
        <v>113</v>
      </c>
      <c r="F68" s="9">
        <v>6618.06</v>
      </c>
      <c r="G68" s="9"/>
      <c r="H68" s="9">
        <v>15790.97</v>
      </c>
      <c r="I68" s="9"/>
      <c r="J68" s="9">
        <f t="shared" si="2"/>
        <v>-9172.91</v>
      </c>
      <c r="L68" s="15" t="s">
        <v>185</v>
      </c>
    </row>
    <row r="69" spans="1:12" ht="45.75" x14ac:dyDescent="0.25">
      <c r="A69" s="6"/>
      <c r="B69" s="6"/>
      <c r="C69" s="6"/>
      <c r="D69" s="6"/>
      <c r="E69" s="6" t="s">
        <v>114</v>
      </c>
      <c r="F69" s="9">
        <v>33915.68</v>
      </c>
      <c r="G69" s="9"/>
      <c r="H69" s="9">
        <v>34200</v>
      </c>
      <c r="I69" s="9"/>
      <c r="J69" s="9">
        <f t="shared" si="2"/>
        <v>-284.32</v>
      </c>
      <c r="L69" s="15" t="s">
        <v>174</v>
      </c>
    </row>
    <row r="70" spans="1:12" x14ac:dyDescent="0.25">
      <c r="A70" s="6"/>
      <c r="B70" s="6"/>
      <c r="C70" s="6"/>
      <c r="D70" s="6"/>
      <c r="E70" s="6" t="s">
        <v>115</v>
      </c>
      <c r="F70" s="9">
        <v>0</v>
      </c>
      <c r="G70" s="9"/>
      <c r="H70" s="9">
        <v>25.62</v>
      </c>
      <c r="I70" s="9"/>
      <c r="J70" s="9">
        <f t="shared" si="2"/>
        <v>-25.62</v>
      </c>
      <c r="L70" s="15"/>
    </row>
    <row r="71" spans="1:12" x14ac:dyDescent="0.25">
      <c r="A71" s="6"/>
      <c r="B71" s="6"/>
      <c r="C71" s="6"/>
      <c r="D71" s="6"/>
      <c r="E71" s="6" t="s">
        <v>116</v>
      </c>
      <c r="F71" s="9">
        <v>8889.77</v>
      </c>
      <c r="G71" s="9"/>
      <c r="H71" s="9">
        <v>4724.01</v>
      </c>
      <c r="I71" s="9"/>
      <c r="J71" s="9">
        <f t="shared" si="2"/>
        <v>4165.76</v>
      </c>
      <c r="L71" s="15"/>
    </row>
    <row r="72" spans="1:12" x14ac:dyDescent="0.25">
      <c r="A72" s="6"/>
      <c r="B72" s="6"/>
      <c r="C72" s="6"/>
      <c r="D72" s="6"/>
      <c r="E72" s="6" t="s">
        <v>117</v>
      </c>
      <c r="F72" s="9">
        <v>10139.65</v>
      </c>
      <c r="G72" s="9"/>
      <c r="H72" s="9">
        <v>6991.46</v>
      </c>
      <c r="I72" s="9"/>
      <c r="J72" s="9">
        <f t="shared" si="2"/>
        <v>3148.19</v>
      </c>
      <c r="L72" s="15"/>
    </row>
    <row r="73" spans="1:12" x14ac:dyDescent="0.25">
      <c r="A73" s="6"/>
      <c r="B73" s="6"/>
      <c r="C73" s="6"/>
      <c r="D73" s="6"/>
      <c r="E73" s="6" t="s">
        <v>118</v>
      </c>
      <c r="F73" s="9">
        <v>16643.009999999998</v>
      </c>
      <c r="G73" s="9"/>
      <c r="H73" s="9">
        <v>17308.96</v>
      </c>
      <c r="I73" s="9"/>
      <c r="J73" s="9">
        <f t="shared" si="2"/>
        <v>-665.95</v>
      </c>
      <c r="L73" s="15"/>
    </row>
    <row r="74" spans="1:12" x14ac:dyDescent="0.25">
      <c r="A74" s="6"/>
      <c r="B74" s="6"/>
      <c r="C74" s="6"/>
      <c r="D74" s="6"/>
      <c r="E74" s="6" t="s">
        <v>119</v>
      </c>
      <c r="F74" s="9">
        <v>46155.19</v>
      </c>
      <c r="G74" s="9"/>
      <c r="H74" s="9">
        <v>46311.839999999997</v>
      </c>
      <c r="I74" s="9"/>
      <c r="J74" s="9">
        <f t="shared" si="2"/>
        <v>-156.65</v>
      </c>
    </row>
    <row r="75" spans="1:12" x14ac:dyDescent="0.25">
      <c r="A75" s="6"/>
      <c r="B75" s="6"/>
      <c r="C75" s="6"/>
      <c r="D75" s="6"/>
      <c r="E75" s="6" t="s">
        <v>120</v>
      </c>
      <c r="F75" s="9">
        <v>6782.65</v>
      </c>
      <c r="G75" s="9"/>
      <c r="H75" s="9">
        <v>10041.39</v>
      </c>
      <c r="I75" s="9"/>
      <c r="J75" s="9">
        <f t="shared" si="2"/>
        <v>-3258.74</v>
      </c>
      <c r="L75" s="15"/>
    </row>
    <row r="76" spans="1:12" x14ac:dyDescent="0.25">
      <c r="A76" s="6"/>
      <c r="B76" s="6"/>
      <c r="C76" s="6"/>
      <c r="D76" s="6"/>
      <c r="E76" s="6" t="s">
        <v>121</v>
      </c>
      <c r="F76" s="9">
        <v>8602.33</v>
      </c>
      <c r="G76" s="9"/>
      <c r="H76" s="9">
        <v>9774.7800000000007</v>
      </c>
      <c r="I76" s="9"/>
      <c r="J76" s="9">
        <f t="shared" si="2"/>
        <v>-1172.45</v>
      </c>
      <c r="L76" s="15"/>
    </row>
    <row r="77" spans="1:12" x14ac:dyDescent="0.25">
      <c r="A77" s="6"/>
      <c r="B77" s="6"/>
      <c r="C77" s="6"/>
      <c r="D77" s="6"/>
      <c r="E77" s="6" t="s">
        <v>122</v>
      </c>
      <c r="F77" s="9">
        <v>483.59</v>
      </c>
      <c r="G77" s="9"/>
      <c r="H77" s="9">
        <v>542.71</v>
      </c>
      <c r="I77" s="9"/>
      <c r="J77" s="9">
        <f t="shared" si="2"/>
        <v>-59.12</v>
      </c>
      <c r="L77" s="15"/>
    </row>
    <row r="78" spans="1:12" x14ac:dyDescent="0.25">
      <c r="A78" s="6"/>
      <c r="B78" s="6"/>
      <c r="C78" s="6"/>
      <c r="D78" s="6"/>
      <c r="E78" s="6" t="s">
        <v>123</v>
      </c>
      <c r="F78" s="9">
        <v>7163.89</v>
      </c>
      <c r="G78" s="9"/>
      <c r="H78" s="9">
        <v>4111.91</v>
      </c>
      <c r="I78" s="9"/>
      <c r="J78" s="9">
        <f t="shared" si="2"/>
        <v>3051.98</v>
      </c>
      <c r="L78" s="15"/>
    </row>
    <row r="79" spans="1:12" x14ac:dyDescent="0.25">
      <c r="A79" s="6"/>
      <c r="B79" s="6"/>
      <c r="C79" s="6"/>
      <c r="D79" s="6"/>
      <c r="E79" s="6" t="s">
        <v>124</v>
      </c>
      <c r="F79" s="9">
        <v>360.83</v>
      </c>
      <c r="G79" s="9"/>
      <c r="H79" s="9">
        <v>841.11</v>
      </c>
      <c r="I79" s="9"/>
      <c r="J79" s="9">
        <f t="shared" si="2"/>
        <v>-480.28</v>
      </c>
      <c r="L79" s="15"/>
    </row>
    <row r="80" spans="1:12" x14ac:dyDescent="0.25">
      <c r="A80" s="6"/>
      <c r="B80" s="6"/>
      <c r="C80" s="6"/>
      <c r="D80" s="6"/>
      <c r="E80" s="6" t="s">
        <v>125</v>
      </c>
      <c r="F80" s="9">
        <f>13924.66+13156.08</f>
        <v>27080.739999999998</v>
      </c>
      <c r="G80" s="9"/>
      <c r="H80" s="9">
        <f>17867.69+13156.08</f>
        <v>31023.769999999997</v>
      </c>
      <c r="I80" s="9"/>
      <c r="J80" s="9">
        <f t="shared" si="2"/>
        <v>-3943.03</v>
      </c>
      <c r="L80" s="15"/>
    </row>
    <row r="81" spans="1:12" ht="16.5" thickBot="1" x14ac:dyDescent="0.3">
      <c r="A81" s="6"/>
      <c r="B81" s="6"/>
      <c r="C81" s="6"/>
      <c r="D81" s="6"/>
      <c r="E81" s="6" t="s">
        <v>126</v>
      </c>
      <c r="F81" s="11">
        <v>13898.66</v>
      </c>
      <c r="G81" s="9"/>
      <c r="H81" s="11">
        <v>14910.72</v>
      </c>
      <c r="I81" s="9"/>
      <c r="J81" s="11">
        <f t="shared" si="2"/>
        <v>-1012.06</v>
      </c>
      <c r="L81" s="7"/>
    </row>
    <row r="82" spans="1:12" ht="16.5" thickBot="1" x14ac:dyDescent="0.3">
      <c r="A82" s="6"/>
      <c r="B82" s="6"/>
      <c r="C82" s="6"/>
      <c r="D82" s="6" t="s">
        <v>33</v>
      </c>
      <c r="E82" s="6"/>
      <c r="F82" s="12">
        <f>ROUND(SUM(F29:F81),5)</f>
        <v>1773746.12</v>
      </c>
      <c r="G82" s="9"/>
      <c r="H82" s="12">
        <f>ROUND(SUM(H29:H81),5)</f>
        <v>1880900.59</v>
      </c>
      <c r="I82" s="9"/>
      <c r="J82" s="12">
        <f t="shared" si="2"/>
        <v>-107154.47</v>
      </c>
      <c r="L82" s="3"/>
    </row>
    <row r="83" spans="1:12" x14ac:dyDescent="0.25">
      <c r="A83" s="6"/>
      <c r="B83" s="6" t="s">
        <v>34</v>
      </c>
      <c r="C83" s="6"/>
      <c r="D83" s="6"/>
      <c r="E83" s="6"/>
      <c r="F83" s="9">
        <f>ROUND(F6+F28-F82,5)</f>
        <v>51196.94</v>
      </c>
      <c r="G83" s="9"/>
      <c r="H83" s="9">
        <f>ROUND(H6+H28-H82,5)</f>
        <v>-143362.98000000001</v>
      </c>
      <c r="I83" s="9"/>
      <c r="J83" s="9">
        <f t="shared" si="2"/>
        <v>194559.92</v>
      </c>
      <c r="L83" s="17"/>
    </row>
    <row r="84" spans="1:12" x14ac:dyDescent="0.25">
      <c r="A84" s="6"/>
      <c r="B84" s="6" t="s">
        <v>35</v>
      </c>
      <c r="C84" s="6"/>
      <c r="D84" s="6"/>
      <c r="E84" s="6"/>
      <c r="F84" s="9"/>
      <c r="G84" s="9"/>
      <c r="H84" s="9"/>
      <c r="I84" s="9"/>
      <c r="J84" s="9"/>
      <c r="L84" s="7"/>
    </row>
    <row r="85" spans="1:12" x14ac:dyDescent="0.25">
      <c r="A85" s="6"/>
      <c r="B85" s="6"/>
      <c r="C85" s="6" t="s">
        <v>36</v>
      </c>
      <c r="D85" s="6"/>
      <c r="E85" s="6"/>
      <c r="F85" s="9"/>
      <c r="G85" s="9"/>
      <c r="H85" s="9"/>
      <c r="I85" s="9"/>
      <c r="J85" s="9"/>
      <c r="L85" s="3"/>
    </row>
    <row r="86" spans="1:12" x14ac:dyDescent="0.25">
      <c r="A86" s="6"/>
      <c r="B86" s="6"/>
      <c r="C86" s="6"/>
      <c r="D86" s="6" t="s">
        <v>197</v>
      </c>
      <c r="E86" s="6"/>
      <c r="F86" s="9">
        <v>-720.96</v>
      </c>
      <c r="G86" s="9"/>
      <c r="H86" s="9">
        <v>0</v>
      </c>
      <c r="I86" s="9"/>
      <c r="J86" s="9">
        <f t="shared" ref="J86:J94" si="3">ROUND((F86-H86),5)</f>
        <v>-720.96</v>
      </c>
      <c r="L86" s="7"/>
    </row>
    <row r="87" spans="1:12" x14ac:dyDescent="0.25">
      <c r="A87" s="6"/>
      <c r="B87" s="6"/>
      <c r="C87" s="6"/>
      <c r="D87" s="6" t="s">
        <v>127</v>
      </c>
      <c r="E87" s="6"/>
      <c r="F87" s="9">
        <v>206.75</v>
      </c>
      <c r="G87" s="9"/>
      <c r="H87" s="9">
        <v>497.16</v>
      </c>
      <c r="I87" s="9"/>
      <c r="J87" s="9">
        <f t="shared" si="3"/>
        <v>-290.41000000000003</v>
      </c>
      <c r="L87" s="3"/>
    </row>
    <row r="88" spans="1:12" x14ac:dyDescent="0.25">
      <c r="A88" s="6"/>
      <c r="B88" s="6"/>
      <c r="C88" s="6"/>
      <c r="D88" s="6" t="s">
        <v>128</v>
      </c>
      <c r="E88" s="6"/>
      <c r="F88" s="9">
        <f>51513.03+4496.54</f>
        <v>56009.57</v>
      </c>
      <c r="G88" s="9"/>
      <c r="H88" s="9">
        <f>47706.71+4031.34</f>
        <v>51738.05</v>
      </c>
      <c r="I88" s="9"/>
      <c r="J88" s="9">
        <f t="shared" si="3"/>
        <v>4271.5200000000004</v>
      </c>
    </row>
    <row r="89" spans="1:12" x14ac:dyDescent="0.25">
      <c r="A89" s="6"/>
      <c r="B89" s="6"/>
      <c r="C89" s="6"/>
      <c r="D89" s="6" t="s">
        <v>129</v>
      </c>
      <c r="E89" s="6"/>
      <c r="F89" s="9">
        <f>-13247.85-3179.65</f>
        <v>-16427.5</v>
      </c>
      <c r="G89" s="9"/>
      <c r="H89" s="9">
        <f>3410.22+18953.86</f>
        <v>22364.080000000002</v>
      </c>
      <c r="I89" s="9"/>
      <c r="J89" s="9">
        <f t="shared" si="3"/>
        <v>-38791.58</v>
      </c>
    </row>
    <row r="90" spans="1:12" x14ac:dyDescent="0.25">
      <c r="A90" s="6"/>
      <c r="B90" s="6"/>
      <c r="C90" s="6"/>
      <c r="D90" s="6" t="s">
        <v>130</v>
      </c>
      <c r="E90" s="6"/>
      <c r="F90" s="9">
        <f>85688.4+21412.36</f>
        <v>107100.76</v>
      </c>
      <c r="G90" s="9"/>
      <c r="H90" s="9">
        <f>-59073.39-23762.72</f>
        <v>-82836.11</v>
      </c>
      <c r="I90" s="9"/>
      <c r="J90" s="9">
        <f t="shared" si="3"/>
        <v>189936.87</v>
      </c>
    </row>
    <row r="91" spans="1:12" ht="16.5" thickBot="1" x14ac:dyDescent="0.3">
      <c r="A91" s="6"/>
      <c r="B91" s="6"/>
      <c r="C91" s="6"/>
      <c r="D91" s="6" t="s">
        <v>131</v>
      </c>
      <c r="E91" s="6"/>
      <c r="F91" s="11">
        <f>-10452.3-3625</f>
        <v>-14077.3</v>
      </c>
      <c r="G91" s="9"/>
      <c r="H91" s="11">
        <f>-10392.29-3625</f>
        <v>-14017.29</v>
      </c>
      <c r="I91" s="9"/>
      <c r="J91" s="11">
        <f t="shared" si="3"/>
        <v>-60.01</v>
      </c>
    </row>
    <row r="92" spans="1:12" ht="16.5" thickBot="1" x14ac:dyDescent="0.3">
      <c r="A92" s="6"/>
      <c r="B92" s="6"/>
      <c r="C92" s="6" t="s">
        <v>37</v>
      </c>
      <c r="D92" s="6"/>
      <c r="E92" s="6"/>
      <c r="F92" s="13">
        <f>ROUND(SUM(F85:F91),5)</f>
        <v>132091.32</v>
      </c>
      <c r="G92" s="9"/>
      <c r="H92" s="13">
        <f>ROUND(SUM(H85:H91),5)</f>
        <v>-22254.11</v>
      </c>
      <c r="I92" s="9"/>
      <c r="J92" s="13">
        <f t="shared" si="3"/>
        <v>154345.43</v>
      </c>
    </row>
    <row r="93" spans="1:12" ht="16.5" thickBot="1" x14ac:dyDescent="0.3">
      <c r="A93" s="6"/>
      <c r="B93" s="6" t="s">
        <v>38</v>
      </c>
      <c r="C93" s="6"/>
      <c r="D93" s="6"/>
      <c r="E93" s="6"/>
      <c r="F93" s="13">
        <f>ROUND(F84+F92,5)</f>
        <v>132091.32</v>
      </c>
      <c r="G93" s="9"/>
      <c r="H93" s="13">
        <f>ROUND(H84+H92,5)</f>
        <v>-22254.11</v>
      </c>
      <c r="I93" s="9"/>
      <c r="J93" s="13">
        <f t="shared" si="3"/>
        <v>154345.43</v>
      </c>
      <c r="L93" s="7"/>
    </row>
    <row r="94" spans="1:12" s="7" customFormat="1" ht="24" customHeight="1" thickBot="1" x14ac:dyDescent="0.3">
      <c r="A94" s="2" t="s">
        <v>25</v>
      </c>
      <c r="B94" s="2"/>
      <c r="C94" s="2"/>
      <c r="D94" s="2"/>
      <c r="E94" s="2"/>
      <c r="F94" s="18">
        <f>ROUND(F83+F93,5)</f>
        <v>183288.26</v>
      </c>
      <c r="G94" s="19"/>
      <c r="H94" s="18">
        <f>ROUND(H83+H93,5)</f>
        <v>-165617.09</v>
      </c>
      <c r="I94" s="19"/>
      <c r="J94" s="18">
        <f t="shared" si="3"/>
        <v>348905.35</v>
      </c>
      <c r="L94"/>
    </row>
    <row r="95" spans="1:12" ht="16.5" thickTop="1" x14ac:dyDescent="0.25"/>
    <row r="96" spans="1:12" x14ac:dyDescent="0.25">
      <c r="F96" s="31">
        <f>+'Balance Sheet'!F62-'Income Statement'!F94</f>
        <v>0</v>
      </c>
      <c r="H96" s="31">
        <f>+'Balance Sheet'!H62-'Income Statement'!H94</f>
        <v>0</v>
      </c>
    </row>
  </sheetData>
  <mergeCells count="3">
    <mergeCell ref="A1:L1"/>
    <mergeCell ref="A2:L2"/>
    <mergeCell ref="A3:L3"/>
  </mergeCells>
  <pageMargins left="0.7" right="0.7" top="0.75" bottom="0.75" header="0.1" footer="0.3"/>
  <pageSetup scale="60" fitToHeight="0" orientation="portrait" r:id="rId1"/>
  <headerFooter>
    <oddFooter>&amp;R&amp;"Arial,Bold"&amp;12 Page &amp;P of &amp;N</oddFooter>
  </headerFooter>
  <drawing r:id="rId2"/>
  <legacyDrawing r:id="rId3"/>
  <controls>
    <mc:AlternateContent xmlns:mc="http://schemas.openxmlformats.org/markup-compatibility/2006">
      <mc:Choice Requires="x14">
        <control shapeId="18944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89442" r:id="rId4" name="HEADER"/>
      </mc:Fallback>
    </mc:AlternateContent>
    <mc:AlternateContent xmlns:mc="http://schemas.openxmlformats.org/markup-compatibility/2006">
      <mc:Choice Requires="x14">
        <control shapeId="18944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89441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L94"/>
  <sheetViews>
    <sheetView topLeftCell="A71" workbookViewId="0">
      <selection activeCell="F18" sqref="F18"/>
    </sheetView>
  </sheetViews>
  <sheetFormatPr defaultRowHeight="15.75" x14ac:dyDescent="0.25"/>
  <cols>
    <col min="1" max="4" width="3" style="25" customWidth="1"/>
    <col min="5" max="5" width="41.140625" style="25" customWidth="1"/>
    <col min="6" max="6" width="15.42578125" style="26" bestFit="1" customWidth="1"/>
    <col min="7" max="7" width="2.28515625" style="26" customWidth="1"/>
    <col min="8" max="8" width="15.42578125" style="26" bestFit="1" customWidth="1"/>
    <col min="9" max="9" width="2.28515625" style="26" customWidth="1"/>
    <col min="10" max="10" width="17" style="26" bestFit="1" customWidth="1"/>
    <col min="11" max="11" width="1.28515625" customWidth="1"/>
    <col min="12" max="12" width="44.42578125" customWidth="1"/>
  </cols>
  <sheetData>
    <row r="1" spans="1:12" x14ac:dyDescent="0.2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5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3" t="s">
        <v>194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6.5" thickBot="1" x14ac:dyDescent="0.3">
      <c r="A4" s="6"/>
      <c r="B4" s="6"/>
      <c r="C4" s="6"/>
      <c r="D4" s="6"/>
      <c r="E4" s="6"/>
      <c r="F4" s="21"/>
      <c r="G4" s="20"/>
      <c r="H4" s="21"/>
      <c r="I4" s="20"/>
      <c r="J4" s="21"/>
    </row>
    <row r="5" spans="1:12" s="24" customFormat="1" ht="17.25" thickTop="1" thickBot="1" x14ac:dyDescent="0.3">
      <c r="A5" s="22"/>
      <c r="B5" s="22"/>
      <c r="C5" s="22"/>
      <c r="D5" s="22"/>
      <c r="E5" s="22"/>
      <c r="F5" s="4" t="s">
        <v>195</v>
      </c>
      <c r="G5" s="23"/>
      <c r="H5" s="4" t="s">
        <v>39</v>
      </c>
      <c r="I5" s="23"/>
      <c r="J5" s="4" t="s">
        <v>46</v>
      </c>
      <c r="L5" s="1" t="s">
        <v>40</v>
      </c>
    </row>
    <row r="6" spans="1:12" ht="16.5" thickTop="1" x14ac:dyDescent="0.25">
      <c r="A6" s="6"/>
      <c r="B6" s="6" t="s">
        <v>28</v>
      </c>
      <c r="C6" s="6"/>
      <c r="D6" s="6"/>
      <c r="E6" s="6"/>
      <c r="F6" s="5"/>
      <c r="G6" s="6"/>
      <c r="H6" s="5"/>
      <c r="I6" s="6"/>
      <c r="J6" s="5"/>
      <c r="L6" s="29"/>
    </row>
    <row r="7" spans="1:12" x14ac:dyDescent="0.25">
      <c r="A7" s="6"/>
      <c r="B7" s="6"/>
      <c r="C7" s="6"/>
      <c r="D7" s="6" t="s">
        <v>29</v>
      </c>
      <c r="E7" s="6"/>
      <c r="F7" s="5"/>
      <c r="G7" s="6"/>
      <c r="H7" s="5"/>
      <c r="I7" s="6"/>
      <c r="J7" s="5"/>
      <c r="L7" s="29"/>
    </row>
    <row r="8" spans="1:12" x14ac:dyDescent="0.25">
      <c r="A8" s="6"/>
      <c r="B8" s="6"/>
      <c r="C8" s="6"/>
      <c r="D8" s="6"/>
      <c r="E8" s="6" t="s">
        <v>70</v>
      </c>
      <c r="F8" s="9">
        <v>1369003.9</v>
      </c>
      <c r="G8" s="9"/>
      <c r="H8" s="9">
        <v>1346000</v>
      </c>
      <c r="I8" s="9"/>
      <c r="J8" s="9">
        <f t="shared" ref="J8:J28" si="0">ROUND((F8-H8),5)</f>
        <v>23003.9</v>
      </c>
      <c r="L8" s="29"/>
    </row>
    <row r="9" spans="1:12" x14ac:dyDescent="0.25">
      <c r="A9" s="6"/>
      <c r="B9" s="6"/>
      <c r="C9" s="6"/>
      <c r="D9" s="6"/>
      <c r="E9" s="6" t="s">
        <v>71</v>
      </c>
      <c r="F9" s="9">
        <v>15070</v>
      </c>
      <c r="G9" s="9"/>
      <c r="H9" s="9">
        <v>10000</v>
      </c>
      <c r="I9" s="9"/>
      <c r="J9" s="9">
        <f t="shared" si="0"/>
        <v>5070</v>
      </c>
      <c r="L9" s="29"/>
    </row>
    <row r="10" spans="1:12" ht="30.75" x14ac:dyDescent="0.25">
      <c r="A10" s="6"/>
      <c r="B10" s="6"/>
      <c r="C10" s="6"/>
      <c r="D10" s="6"/>
      <c r="E10" s="6" t="s">
        <v>72</v>
      </c>
      <c r="F10" s="9">
        <v>25805</v>
      </c>
      <c r="G10" s="9"/>
      <c r="H10" s="9">
        <v>51000</v>
      </c>
      <c r="I10" s="9"/>
      <c r="J10" s="9">
        <f t="shared" si="0"/>
        <v>-25195</v>
      </c>
      <c r="L10" s="8" t="s">
        <v>154</v>
      </c>
    </row>
    <row r="11" spans="1:12" x14ac:dyDescent="0.25">
      <c r="A11" s="6"/>
      <c r="B11" s="6"/>
      <c r="C11" s="6"/>
      <c r="D11" s="6"/>
      <c r="E11" s="6" t="s">
        <v>151</v>
      </c>
      <c r="F11" s="9">
        <v>51581.5</v>
      </c>
      <c r="G11" s="9"/>
      <c r="H11" s="9">
        <v>63000</v>
      </c>
      <c r="I11" s="9"/>
      <c r="J11" s="9">
        <f t="shared" si="0"/>
        <v>-11418.5</v>
      </c>
      <c r="L11" s="8"/>
    </row>
    <row r="12" spans="1:12" x14ac:dyDescent="0.25">
      <c r="A12" s="6"/>
      <c r="B12" s="6"/>
      <c r="C12" s="6"/>
      <c r="D12" s="6"/>
      <c r="E12" s="6" t="s">
        <v>157</v>
      </c>
      <c r="F12" s="9">
        <v>46387.99</v>
      </c>
      <c r="G12" s="9"/>
      <c r="H12" s="9">
        <v>50000</v>
      </c>
      <c r="I12" s="9"/>
      <c r="J12" s="9">
        <f t="shared" si="0"/>
        <v>-3612.01</v>
      </c>
      <c r="L12" s="8"/>
    </row>
    <row r="13" spans="1:12" x14ac:dyDescent="0.25">
      <c r="A13" s="6"/>
      <c r="B13" s="6"/>
      <c r="C13" s="6"/>
      <c r="D13" s="6"/>
      <c r="E13" s="6" t="s">
        <v>182</v>
      </c>
      <c r="F13" s="9">
        <v>85200</v>
      </c>
      <c r="G13" s="9"/>
      <c r="H13" s="9">
        <v>76000</v>
      </c>
      <c r="I13" s="9"/>
      <c r="J13" s="9">
        <f t="shared" si="0"/>
        <v>9200</v>
      </c>
    </row>
    <row r="14" spans="1:12" x14ac:dyDescent="0.25">
      <c r="A14" s="6"/>
      <c r="B14" s="6"/>
      <c r="C14" s="6"/>
      <c r="D14" s="6"/>
      <c r="E14" s="6" t="s">
        <v>158</v>
      </c>
      <c r="F14" s="9">
        <v>56435</v>
      </c>
      <c r="G14" s="9"/>
      <c r="H14" s="9">
        <v>49000</v>
      </c>
      <c r="I14" s="9"/>
      <c r="J14" s="9">
        <f t="shared" si="0"/>
        <v>7435</v>
      </c>
    </row>
    <row r="15" spans="1:12" x14ac:dyDescent="0.25">
      <c r="A15" s="6"/>
      <c r="B15" s="6"/>
      <c r="C15" s="6"/>
      <c r="D15" s="6"/>
      <c r="E15" s="6" t="s">
        <v>133</v>
      </c>
      <c r="F15" s="9">
        <v>51000</v>
      </c>
      <c r="G15" s="9"/>
      <c r="H15" s="9">
        <v>0</v>
      </c>
      <c r="I15" s="9"/>
      <c r="J15" s="9">
        <f t="shared" si="0"/>
        <v>51000</v>
      </c>
      <c r="L15" s="15" t="s">
        <v>160</v>
      </c>
    </row>
    <row r="16" spans="1:12" x14ac:dyDescent="0.25">
      <c r="A16" s="6"/>
      <c r="B16" s="6"/>
      <c r="C16" s="6"/>
      <c r="D16" s="6"/>
      <c r="E16" s="6" t="s">
        <v>73</v>
      </c>
      <c r="F16" s="9">
        <v>12000</v>
      </c>
      <c r="G16" s="9"/>
      <c r="H16" s="9">
        <v>8000</v>
      </c>
      <c r="I16" s="9"/>
      <c r="J16" s="9">
        <f t="shared" si="0"/>
        <v>4000</v>
      </c>
      <c r="L16" s="8"/>
    </row>
    <row r="17" spans="1:12" x14ac:dyDescent="0.25">
      <c r="A17" s="6"/>
      <c r="B17" s="6"/>
      <c r="C17" s="6"/>
      <c r="D17" s="6"/>
      <c r="E17" s="6" t="s">
        <v>75</v>
      </c>
      <c r="F17" s="9">
        <v>18000</v>
      </c>
      <c r="G17" s="9"/>
      <c r="H17" s="9">
        <v>10000</v>
      </c>
      <c r="I17" s="9"/>
      <c r="J17" s="9">
        <f t="shared" si="0"/>
        <v>8000</v>
      </c>
      <c r="L17" s="8"/>
    </row>
    <row r="18" spans="1:12" x14ac:dyDescent="0.25">
      <c r="A18" s="6"/>
      <c r="B18" s="6"/>
      <c r="C18" s="6"/>
      <c r="D18" s="6"/>
      <c r="E18" s="6" t="s">
        <v>76</v>
      </c>
      <c r="F18" s="9">
        <v>0</v>
      </c>
      <c r="G18" s="9"/>
      <c r="H18" s="9">
        <v>60000</v>
      </c>
      <c r="I18" s="9"/>
      <c r="J18" s="9">
        <f t="shared" si="0"/>
        <v>-60000</v>
      </c>
      <c r="L18" s="8" t="s">
        <v>161</v>
      </c>
    </row>
    <row r="19" spans="1:12" ht="30.75" x14ac:dyDescent="0.25">
      <c r="A19" s="6"/>
      <c r="B19" s="6"/>
      <c r="C19" s="6"/>
      <c r="D19" s="6"/>
      <c r="E19" s="6" t="s">
        <v>77</v>
      </c>
      <c r="F19" s="9">
        <v>66696.350000000006</v>
      </c>
      <c r="G19" s="9"/>
      <c r="H19" s="9">
        <v>92500</v>
      </c>
      <c r="I19" s="9"/>
      <c r="J19" s="9">
        <f t="shared" si="0"/>
        <v>-25803.65</v>
      </c>
      <c r="L19" s="8" t="s">
        <v>178</v>
      </c>
    </row>
    <row r="20" spans="1:12" x14ac:dyDescent="0.25">
      <c r="A20" s="6"/>
      <c r="B20" s="6"/>
      <c r="C20" s="6"/>
      <c r="D20" s="6"/>
      <c r="E20" s="6" t="s">
        <v>78</v>
      </c>
      <c r="F20" s="9">
        <v>575</v>
      </c>
      <c r="G20" s="9"/>
      <c r="H20" s="9">
        <v>0</v>
      </c>
      <c r="I20" s="9"/>
      <c r="J20" s="9">
        <f t="shared" si="0"/>
        <v>575</v>
      </c>
      <c r="L20" s="27"/>
    </row>
    <row r="21" spans="1:12" x14ac:dyDescent="0.25">
      <c r="A21" s="6"/>
      <c r="B21" s="6"/>
      <c r="C21" s="6"/>
      <c r="D21" s="6"/>
      <c r="E21" s="6" t="s">
        <v>136</v>
      </c>
      <c r="F21" s="9">
        <v>5296.24</v>
      </c>
      <c r="G21" s="9"/>
      <c r="H21" s="9">
        <v>6000</v>
      </c>
      <c r="I21" s="9"/>
      <c r="J21" s="9">
        <f t="shared" si="0"/>
        <v>-703.76</v>
      </c>
      <c r="L21" s="8"/>
    </row>
    <row r="22" spans="1:12" x14ac:dyDescent="0.25">
      <c r="A22" s="6"/>
      <c r="B22" s="6"/>
      <c r="C22" s="6"/>
      <c r="D22" s="6"/>
      <c r="E22" s="6" t="s">
        <v>79</v>
      </c>
      <c r="F22" s="9">
        <v>8103.25</v>
      </c>
      <c r="G22" s="9"/>
      <c r="H22" s="9">
        <v>5000</v>
      </c>
      <c r="I22" s="9"/>
      <c r="J22" s="9">
        <f t="shared" si="0"/>
        <v>3103.25</v>
      </c>
      <c r="L22" s="8"/>
    </row>
    <row r="23" spans="1:12" x14ac:dyDescent="0.25">
      <c r="A23" s="6"/>
      <c r="B23" s="6"/>
      <c r="C23" s="6"/>
      <c r="D23" s="6"/>
      <c r="E23" s="6" t="s">
        <v>167</v>
      </c>
      <c r="F23" s="9">
        <v>4000</v>
      </c>
      <c r="G23" s="9"/>
      <c r="H23" s="9">
        <v>4000</v>
      </c>
      <c r="I23" s="9"/>
      <c r="J23" s="9">
        <f t="shared" si="0"/>
        <v>0</v>
      </c>
      <c r="L23" s="29"/>
    </row>
    <row r="24" spans="1:12" x14ac:dyDescent="0.25">
      <c r="A24" s="6"/>
      <c r="B24" s="6"/>
      <c r="C24" s="6"/>
      <c r="D24" s="6"/>
      <c r="E24" s="6" t="s">
        <v>80</v>
      </c>
      <c r="F24" s="9">
        <v>1570</v>
      </c>
      <c r="G24" s="9"/>
      <c r="H24" s="9">
        <v>4000</v>
      </c>
      <c r="I24" s="9"/>
      <c r="J24" s="9">
        <f t="shared" si="0"/>
        <v>-2430</v>
      </c>
      <c r="L24" s="8"/>
    </row>
    <row r="25" spans="1:12" x14ac:dyDescent="0.25">
      <c r="A25" s="6"/>
      <c r="B25" s="6"/>
      <c r="C25" s="6"/>
      <c r="D25" s="6"/>
      <c r="E25" s="6" t="s">
        <v>81</v>
      </c>
      <c r="F25" s="9">
        <v>6600</v>
      </c>
      <c r="G25" s="9"/>
      <c r="H25" s="9">
        <v>6600</v>
      </c>
      <c r="I25" s="9"/>
      <c r="J25" s="9">
        <f t="shared" si="0"/>
        <v>0</v>
      </c>
      <c r="L25" s="8"/>
    </row>
    <row r="26" spans="1:12" ht="16.5" thickBot="1" x14ac:dyDescent="0.3">
      <c r="A26" s="6"/>
      <c r="B26" s="6"/>
      <c r="C26" s="6"/>
      <c r="D26" s="6"/>
      <c r="E26" s="6" t="s">
        <v>82</v>
      </c>
      <c r="F26" s="11">
        <v>1618.83</v>
      </c>
      <c r="G26" s="9"/>
      <c r="H26" s="11">
        <v>800</v>
      </c>
      <c r="I26" s="9"/>
      <c r="J26" s="11">
        <f t="shared" si="0"/>
        <v>818.83</v>
      </c>
      <c r="L26" s="29"/>
    </row>
    <row r="27" spans="1:12" ht="16.5" thickBot="1" x14ac:dyDescent="0.3">
      <c r="A27" s="6"/>
      <c r="B27" s="6"/>
      <c r="C27" s="6"/>
      <c r="D27" s="6" t="s">
        <v>30</v>
      </c>
      <c r="E27" s="6"/>
      <c r="F27" s="12">
        <f>ROUND(SUM(F7:F26),5)</f>
        <v>1824943.06</v>
      </c>
      <c r="G27" s="9"/>
      <c r="H27" s="12">
        <f>ROUND(SUM(H7:H26),5)</f>
        <v>1841900</v>
      </c>
      <c r="I27" s="9"/>
      <c r="J27" s="12">
        <f t="shared" si="0"/>
        <v>-16956.939999999999</v>
      </c>
      <c r="L27" s="29"/>
    </row>
    <row r="28" spans="1:12" x14ac:dyDescent="0.25">
      <c r="A28" s="6"/>
      <c r="B28" s="6"/>
      <c r="C28" s="6" t="s">
        <v>31</v>
      </c>
      <c r="D28" s="6"/>
      <c r="E28" s="6"/>
      <c r="F28" s="9">
        <f>F27</f>
        <v>1824943.06</v>
      </c>
      <c r="G28" s="9"/>
      <c r="H28" s="9">
        <f>H27</f>
        <v>1841900</v>
      </c>
      <c r="I28" s="9"/>
      <c r="J28" s="9">
        <f t="shared" si="0"/>
        <v>-16956.939999999999</v>
      </c>
    </row>
    <row r="29" spans="1:12" x14ac:dyDescent="0.25">
      <c r="A29" s="6"/>
      <c r="B29" s="6"/>
      <c r="C29" s="6"/>
      <c r="D29" s="6" t="s">
        <v>32</v>
      </c>
      <c r="E29" s="6"/>
      <c r="F29" s="9"/>
      <c r="G29" s="9"/>
      <c r="H29" s="9"/>
      <c r="I29" s="9"/>
      <c r="J29" s="9"/>
    </row>
    <row r="30" spans="1:12" x14ac:dyDescent="0.25">
      <c r="A30" s="6"/>
      <c r="B30" s="6"/>
      <c r="C30" s="6"/>
      <c r="D30" s="6"/>
      <c r="E30" s="6" t="s">
        <v>183</v>
      </c>
      <c r="F30" s="9">
        <v>302.45</v>
      </c>
      <c r="G30" s="9"/>
      <c r="H30" s="9"/>
      <c r="I30" s="9"/>
      <c r="J30" s="9"/>
    </row>
    <row r="31" spans="1:12" x14ac:dyDescent="0.25">
      <c r="A31" s="6"/>
      <c r="B31" s="6"/>
      <c r="C31" s="6"/>
      <c r="D31" s="6"/>
      <c r="E31" s="6" t="s">
        <v>83</v>
      </c>
      <c r="F31" s="9">
        <v>20505.78</v>
      </c>
      <c r="G31" s="9"/>
      <c r="H31" s="9">
        <v>25800</v>
      </c>
      <c r="I31" s="9"/>
      <c r="J31" s="9">
        <f>ROUND((F31-H31),5)</f>
        <v>-5294.22</v>
      </c>
    </row>
    <row r="32" spans="1:12" x14ac:dyDescent="0.25">
      <c r="A32" s="6"/>
      <c r="B32" s="6"/>
      <c r="C32" s="6"/>
      <c r="D32" s="6"/>
      <c r="E32" s="6" t="s">
        <v>84</v>
      </c>
      <c r="F32" s="9">
        <v>57238.8</v>
      </c>
      <c r="G32" s="9"/>
      <c r="H32" s="9">
        <v>56600</v>
      </c>
      <c r="I32" s="9"/>
      <c r="J32" s="9">
        <f>ROUND((F32-H32),5)</f>
        <v>638.79999999999995</v>
      </c>
    </row>
    <row r="33" spans="1:12" ht="45.75" x14ac:dyDescent="0.25">
      <c r="A33" s="6"/>
      <c r="B33" s="6"/>
      <c r="C33" s="6"/>
      <c r="D33" s="6"/>
      <c r="E33" s="6" t="s">
        <v>175</v>
      </c>
      <c r="F33" s="9">
        <v>79365.039999999994</v>
      </c>
      <c r="G33" s="9"/>
      <c r="H33" s="9">
        <v>67100</v>
      </c>
      <c r="I33" s="9"/>
      <c r="J33" s="9">
        <f>ROUND((F33-H33),5)</f>
        <v>12265.04</v>
      </c>
      <c r="L33" s="15" t="s">
        <v>186</v>
      </c>
    </row>
    <row r="34" spans="1:12" x14ac:dyDescent="0.25">
      <c r="A34" s="6"/>
      <c r="B34" s="6"/>
      <c r="C34" s="6"/>
      <c r="D34" s="6"/>
      <c r="E34" s="6" t="s">
        <v>134</v>
      </c>
      <c r="F34" s="9">
        <v>42383.69</v>
      </c>
      <c r="G34" s="9"/>
      <c r="H34" s="9"/>
      <c r="I34" s="9"/>
      <c r="J34" s="9"/>
      <c r="L34" s="15" t="s">
        <v>160</v>
      </c>
    </row>
    <row r="35" spans="1:12" x14ac:dyDescent="0.25">
      <c r="A35" s="6"/>
      <c r="B35" s="6"/>
      <c r="C35" s="6"/>
      <c r="D35" s="6"/>
      <c r="E35" s="6" t="s">
        <v>176</v>
      </c>
      <c r="F35" s="9">
        <v>12000</v>
      </c>
      <c r="G35" s="9"/>
      <c r="H35" s="9">
        <v>12000</v>
      </c>
      <c r="I35" s="9"/>
      <c r="J35" s="9">
        <f t="shared" ref="J35:J81" si="1">ROUND((F35-H35),5)</f>
        <v>0</v>
      </c>
      <c r="L35" s="8"/>
    </row>
    <row r="36" spans="1:12" x14ac:dyDescent="0.25">
      <c r="A36" s="6"/>
      <c r="B36" s="6"/>
      <c r="C36" s="6"/>
      <c r="D36" s="6"/>
      <c r="E36" s="6" t="s">
        <v>86</v>
      </c>
      <c r="F36" s="9">
        <v>0</v>
      </c>
      <c r="G36" s="9"/>
      <c r="H36" s="9">
        <v>2500</v>
      </c>
      <c r="I36" s="9"/>
      <c r="J36" s="9">
        <f t="shared" si="1"/>
        <v>-2500</v>
      </c>
      <c r="L36" s="29"/>
    </row>
    <row r="37" spans="1:12" x14ac:dyDescent="0.25">
      <c r="A37" s="6"/>
      <c r="B37" s="6"/>
      <c r="C37" s="6"/>
      <c r="D37" s="6"/>
      <c r="E37" s="6" t="s">
        <v>87</v>
      </c>
      <c r="F37" s="9">
        <v>770.16</v>
      </c>
      <c r="G37" s="9"/>
      <c r="H37" s="9">
        <v>47000</v>
      </c>
      <c r="I37" s="9"/>
      <c r="J37" s="9">
        <f t="shared" si="1"/>
        <v>-46229.84</v>
      </c>
      <c r="L37" s="8" t="s">
        <v>161</v>
      </c>
    </row>
    <row r="38" spans="1:12" x14ac:dyDescent="0.25">
      <c r="A38" s="6"/>
      <c r="B38" s="6"/>
      <c r="C38" s="6"/>
      <c r="D38" s="6"/>
      <c r="E38" s="6" t="s">
        <v>88</v>
      </c>
      <c r="F38" s="9">
        <v>84529.1</v>
      </c>
      <c r="G38" s="9"/>
      <c r="H38" s="9">
        <v>84700</v>
      </c>
      <c r="I38" s="9"/>
      <c r="J38" s="9">
        <f t="shared" si="1"/>
        <v>-170.9</v>
      </c>
      <c r="L38" s="8" t="s">
        <v>166</v>
      </c>
    </row>
    <row r="39" spans="1:12" ht="30.75" x14ac:dyDescent="0.25">
      <c r="A39" s="6"/>
      <c r="B39" s="6"/>
      <c r="C39" s="6"/>
      <c r="D39" s="6"/>
      <c r="E39" s="6" t="s">
        <v>89</v>
      </c>
      <c r="F39" s="9">
        <v>627270.81999999995</v>
      </c>
      <c r="G39" s="9"/>
      <c r="H39" s="9">
        <v>672000</v>
      </c>
      <c r="I39" s="9"/>
      <c r="J39" s="9">
        <f t="shared" si="1"/>
        <v>-44729.18</v>
      </c>
      <c r="L39" s="8" t="s">
        <v>168</v>
      </c>
    </row>
    <row r="40" spans="1:12" x14ac:dyDescent="0.25">
      <c r="A40" s="6"/>
      <c r="B40" s="6"/>
      <c r="C40" s="6"/>
      <c r="D40" s="6"/>
      <c r="E40" s="6" t="s">
        <v>152</v>
      </c>
      <c r="F40" s="9">
        <v>10296.969999999999</v>
      </c>
      <c r="G40" s="9"/>
      <c r="H40" s="9">
        <v>5000</v>
      </c>
      <c r="I40" s="9"/>
      <c r="J40" s="9">
        <f t="shared" si="1"/>
        <v>5296.97</v>
      </c>
      <c r="L40" s="30"/>
    </row>
    <row r="41" spans="1:12" x14ac:dyDescent="0.25">
      <c r="A41" s="6"/>
      <c r="B41" s="6"/>
      <c r="C41" s="6"/>
      <c r="D41" s="6"/>
      <c r="E41" s="6" t="s">
        <v>90</v>
      </c>
      <c r="F41" s="9">
        <v>50766.62</v>
      </c>
      <c r="G41" s="9"/>
      <c r="H41" s="9">
        <v>54000</v>
      </c>
      <c r="I41" s="9"/>
      <c r="J41" s="9">
        <f t="shared" si="1"/>
        <v>-3233.38</v>
      </c>
      <c r="L41" s="8"/>
    </row>
    <row r="42" spans="1:12" x14ac:dyDescent="0.25">
      <c r="A42" s="6"/>
      <c r="B42" s="6"/>
      <c r="C42" s="6"/>
      <c r="D42" s="6"/>
      <c r="E42" s="6" t="s">
        <v>91</v>
      </c>
      <c r="F42" s="9">
        <v>2748.64</v>
      </c>
      <c r="G42" s="9"/>
      <c r="H42" s="9">
        <v>2600</v>
      </c>
      <c r="I42" s="9"/>
      <c r="J42" s="9">
        <f t="shared" si="1"/>
        <v>148.63999999999999</v>
      </c>
      <c r="L42" s="8"/>
    </row>
    <row r="43" spans="1:12" ht="30.75" x14ac:dyDescent="0.25">
      <c r="A43" s="6"/>
      <c r="B43" s="6"/>
      <c r="C43" s="6"/>
      <c r="D43" s="6"/>
      <c r="E43" s="6" t="s">
        <v>92</v>
      </c>
      <c r="F43" s="9">
        <v>68806.080000000002</v>
      </c>
      <c r="G43" s="9"/>
      <c r="H43" s="9">
        <v>80000</v>
      </c>
      <c r="I43" s="9"/>
      <c r="J43" s="9">
        <f t="shared" si="1"/>
        <v>-11193.92</v>
      </c>
      <c r="L43" s="8" t="s">
        <v>155</v>
      </c>
    </row>
    <row r="44" spans="1:12" ht="30.75" x14ac:dyDescent="0.25">
      <c r="A44" s="6"/>
      <c r="B44" s="6"/>
      <c r="C44" s="6"/>
      <c r="D44" s="6"/>
      <c r="E44" s="6" t="s">
        <v>93</v>
      </c>
      <c r="F44" s="9">
        <v>24841.75</v>
      </c>
      <c r="G44" s="9"/>
      <c r="H44" s="9">
        <v>34300</v>
      </c>
      <c r="I44" s="9"/>
      <c r="J44" s="9">
        <f t="shared" si="1"/>
        <v>-9458.25</v>
      </c>
      <c r="L44" s="8" t="s">
        <v>155</v>
      </c>
    </row>
    <row r="45" spans="1:12" x14ac:dyDescent="0.25">
      <c r="A45" s="6"/>
      <c r="B45" s="6"/>
      <c r="C45" s="6"/>
      <c r="D45" s="6"/>
      <c r="E45" s="6" t="s">
        <v>94</v>
      </c>
      <c r="F45" s="9">
        <v>12341.53</v>
      </c>
      <c r="G45" s="9"/>
      <c r="H45" s="9">
        <v>6500</v>
      </c>
      <c r="I45" s="9"/>
      <c r="J45" s="9">
        <f t="shared" si="1"/>
        <v>5841.53</v>
      </c>
      <c r="L45" s="8"/>
    </row>
    <row r="46" spans="1:12" x14ac:dyDescent="0.25">
      <c r="A46" s="6"/>
      <c r="B46" s="6"/>
      <c r="C46" s="6"/>
      <c r="D46" s="6"/>
      <c r="E46" s="6" t="s">
        <v>95</v>
      </c>
      <c r="F46" s="9">
        <v>5993</v>
      </c>
      <c r="G46" s="9"/>
      <c r="H46" s="9">
        <v>5400</v>
      </c>
      <c r="I46" s="9"/>
      <c r="J46" s="9">
        <f t="shared" si="1"/>
        <v>593</v>
      </c>
      <c r="L46" s="8"/>
    </row>
    <row r="47" spans="1:12" x14ac:dyDescent="0.25">
      <c r="A47" s="6"/>
      <c r="B47" s="6"/>
      <c r="C47" s="6"/>
      <c r="D47" s="6"/>
      <c r="E47" s="6" t="s">
        <v>96</v>
      </c>
      <c r="F47" s="9">
        <v>52029.69</v>
      </c>
      <c r="G47" s="9"/>
      <c r="H47" s="9">
        <v>61000</v>
      </c>
      <c r="I47" s="9"/>
      <c r="J47" s="9">
        <f t="shared" si="1"/>
        <v>-8970.31</v>
      </c>
      <c r="L47" s="8"/>
    </row>
    <row r="48" spans="1:12" ht="30.75" x14ac:dyDescent="0.25">
      <c r="A48" s="6"/>
      <c r="B48" s="6"/>
      <c r="C48" s="6"/>
      <c r="D48" s="6"/>
      <c r="E48" s="6" t="s">
        <v>97</v>
      </c>
      <c r="F48" s="9">
        <v>222361.35</v>
      </c>
      <c r="G48" s="9"/>
      <c r="H48" s="9">
        <v>240000</v>
      </c>
      <c r="I48" s="9"/>
      <c r="J48" s="9">
        <f t="shared" si="1"/>
        <v>-17638.650000000001</v>
      </c>
      <c r="L48" s="8" t="s">
        <v>163</v>
      </c>
    </row>
    <row r="49" spans="1:12" x14ac:dyDescent="0.25">
      <c r="A49" s="6"/>
      <c r="B49" s="6"/>
      <c r="C49" s="6"/>
      <c r="D49" s="6"/>
      <c r="E49" s="6" t="s">
        <v>98</v>
      </c>
      <c r="F49" s="9">
        <f>45188.95+1000</f>
        <v>46188.95</v>
      </c>
      <c r="G49" s="9"/>
      <c r="H49" s="9">
        <v>36900</v>
      </c>
      <c r="I49" s="9"/>
      <c r="J49" s="9">
        <f t="shared" si="1"/>
        <v>9288.9500000000007</v>
      </c>
      <c r="L49" s="8"/>
    </row>
    <row r="50" spans="1:12" x14ac:dyDescent="0.25">
      <c r="A50" s="6"/>
      <c r="B50" s="6"/>
      <c r="C50" s="6"/>
      <c r="D50" s="6"/>
      <c r="E50" s="6" t="s">
        <v>99</v>
      </c>
      <c r="F50" s="9">
        <v>83076.59</v>
      </c>
      <c r="G50" s="9"/>
      <c r="H50" s="9">
        <v>82800</v>
      </c>
      <c r="I50" s="9"/>
      <c r="J50" s="9">
        <f t="shared" si="1"/>
        <v>276.58999999999997</v>
      </c>
      <c r="L50" s="8"/>
    </row>
    <row r="51" spans="1:12" x14ac:dyDescent="0.25">
      <c r="A51" s="6"/>
      <c r="B51" s="6"/>
      <c r="C51" s="6"/>
      <c r="D51" s="6"/>
      <c r="E51" s="6" t="s">
        <v>100</v>
      </c>
      <c r="F51" s="9">
        <v>11110.87</v>
      </c>
      <c r="G51" s="9"/>
      <c r="H51" s="9">
        <v>13800</v>
      </c>
      <c r="I51" s="9"/>
      <c r="J51" s="9">
        <f t="shared" si="1"/>
        <v>-2689.13</v>
      </c>
      <c r="L51" s="8"/>
    </row>
    <row r="52" spans="1:12" x14ac:dyDescent="0.25">
      <c r="A52" s="6"/>
      <c r="B52" s="6"/>
      <c r="C52" s="6"/>
      <c r="D52" s="6"/>
      <c r="E52" s="6" t="s">
        <v>101</v>
      </c>
      <c r="F52" s="9">
        <v>13120.78</v>
      </c>
      <c r="G52" s="9"/>
      <c r="H52" s="9">
        <v>16800</v>
      </c>
      <c r="I52" s="9"/>
      <c r="J52" s="9">
        <f t="shared" si="1"/>
        <v>-3679.22</v>
      </c>
      <c r="L52" s="8"/>
    </row>
    <row r="53" spans="1:12" x14ac:dyDescent="0.25">
      <c r="A53" s="6"/>
      <c r="B53" s="6"/>
      <c r="C53" s="6"/>
      <c r="D53" s="6"/>
      <c r="E53" s="6" t="s">
        <v>102</v>
      </c>
      <c r="F53" s="9">
        <v>8100.59</v>
      </c>
      <c r="G53" s="9"/>
      <c r="H53" s="9">
        <v>9600</v>
      </c>
      <c r="I53" s="9"/>
      <c r="J53" s="9">
        <f t="shared" si="1"/>
        <v>-1499.41</v>
      </c>
      <c r="L53" s="8"/>
    </row>
    <row r="54" spans="1:12" x14ac:dyDescent="0.25">
      <c r="A54" s="6"/>
      <c r="B54" s="6"/>
      <c r="C54" s="6"/>
      <c r="D54" s="6"/>
      <c r="E54" s="6" t="s">
        <v>103</v>
      </c>
      <c r="F54" s="9">
        <v>1090.5</v>
      </c>
      <c r="G54" s="9"/>
      <c r="H54" s="9">
        <v>1000</v>
      </c>
      <c r="I54" s="9"/>
      <c r="J54" s="9">
        <f t="shared" si="1"/>
        <v>90.5</v>
      </c>
      <c r="L54" s="8"/>
    </row>
    <row r="55" spans="1:12" x14ac:dyDescent="0.25">
      <c r="A55" s="6"/>
      <c r="B55" s="6"/>
      <c r="C55" s="6"/>
      <c r="D55" s="6"/>
      <c r="E55" s="6" t="s">
        <v>104</v>
      </c>
      <c r="F55" s="9">
        <v>11294.23</v>
      </c>
      <c r="G55" s="9"/>
      <c r="H55" s="9">
        <v>13500</v>
      </c>
      <c r="I55" s="9"/>
      <c r="J55" s="9">
        <f t="shared" si="1"/>
        <v>-2205.77</v>
      </c>
      <c r="L55" s="8"/>
    </row>
    <row r="56" spans="1:12" x14ac:dyDescent="0.25">
      <c r="A56" s="6"/>
      <c r="B56" s="6"/>
      <c r="C56" s="6"/>
      <c r="D56" s="6"/>
      <c r="E56" s="6" t="s">
        <v>105</v>
      </c>
      <c r="F56" s="9">
        <v>2333.7600000000002</v>
      </c>
      <c r="G56" s="9"/>
      <c r="H56" s="9">
        <v>2600</v>
      </c>
      <c r="I56" s="9"/>
      <c r="J56" s="9">
        <f t="shared" si="1"/>
        <v>-266.24</v>
      </c>
      <c r="L56" s="8"/>
    </row>
    <row r="57" spans="1:12" x14ac:dyDescent="0.25">
      <c r="A57" s="6"/>
      <c r="B57" s="6"/>
      <c r="C57" s="6"/>
      <c r="D57" s="6"/>
      <c r="E57" s="6" t="s">
        <v>106</v>
      </c>
      <c r="F57" s="9">
        <v>3381.95</v>
      </c>
      <c r="G57" s="9"/>
      <c r="H57" s="9">
        <v>3600</v>
      </c>
      <c r="I57" s="9"/>
      <c r="J57" s="9">
        <f t="shared" si="1"/>
        <v>-218.05</v>
      </c>
      <c r="L57" s="8"/>
    </row>
    <row r="58" spans="1:12" x14ac:dyDescent="0.25">
      <c r="A58" s="6"/>
      <c r="B58" s="6"/>
      <c r="C58" s="6"/>
      <c r="D58" s="6"/>
      <c r="E58" s="6" t="s">
        <v>107</v>
      </c>
      <c r="F58" s="9">
        <v>1170.45</v>
      </c>
      <c r="G58" s="9"/>
      <c r="H58" s="9">
        <v>9600</v>
      </c>
      <c r="I58" s="9"/>
      <c r="J58" s="9">
        <f t="shared" si="1"/>
        <v>-8429.5499999999993</v>
      </c>
      <c r="L58" s="8" t="s">
        <v>170</v>
      </c>
    </row>
    <row r="59" spans="1:12" x14ac:dyDescent="0.25">
      <c r="A59" s="6"/>
      <c r="B59" s="6"/>
      <c r="C59" s="6"/>
      <c r="D59" s="6"/>
      <c r="E59" s="6" t="s">
        <v>108</v>
      </c>
      <c r="F59" s="9">
        <v>481.9</v>
      </c>
      <c r="G59" s="9"/>
      <c r="H59" s="9">
        <v>400</v>
      </c>
      <c r="I59" s="9"/>
      <c r="J59" s="9">
        <f t="shared" si="1"/>
        <v>81.900000000000006</v>
      </c>
      <c r="L59" s="8"/>
    </row>
    <row r="60" spans="1:12" x14ac:dyDescent="0.25">
      <c r="A60" s="6"/>
      <c r="B60" s="6"/>
      <c r="C60" s="6"/>
      <c r="D60" s="6"/>
      <c r="E60" s="6" t="s">
        <v>109</v>
      </c>
      <c r="F60" s="9">
        <v>5333.33</v>
      </c>
      <c r="G60" s="9"/>
      <c r="H60" s="9">
        <v>6000</v>
      </c>
      <c r="I60" s="9"/>
      <c r="J60" s="9">
        <f t="shared" si="1"/>
        <v>-666.67</v>
      </c>
      <c r="L60" s="8"/>
    </row>
    <row r="61" spans="1:12" x14ac:dyDescent="0.25">
      <c r="A61" s="6"/>
      <c r="B61" s="6"/>
      <c r="C61" s="6"/>
      <c r="D61" s="6"/>
      <c r="E61" s="6" t="s">
        <v>138</v>
      </c>
      <c r="F61" s="9">
        <v>4305</v>
      </c>
      <c r="G61" s="9"/>
      <c r="H61" s="9">
        <v>3600</v>
      </c>
      <c r="I61" s="9"/>
      <c r="J61" s="9">
        <f t="shared" si="1"/>
        <v>705</v>
      </c>
      <c r="L61" s="8"/>
    </row>
    <row r="62" spans="1:12" x14ac:dyDescent="0.25">
      <c r="A62" s="6"/>
      <c r="B62" s="6"/>
      <c r="C62" s="6"/>
      <c r="D62" s="6"/>
      <c r="E62" s="6" t="s">
        <v>179</v>
      </c>
      <c r="F62" s="9">
        <v>100</v>
      </c>
      <c r="G62" s="9"/>
      <c r="H62" s="9">
        <v>300</v>
      </c>
      <c r="I62" s="9"/>
      <c r="J62" s="9">
        <f t="shared" si="1"/>
        <v>-200</v>
      </c>
      <c r="L62" s="8"/>
    </row>
    <row r="63" spans="1:12" x14ac:dyDescent="0.25">
      <c r="A63" s="6"/>
      <c r="B63" s="6"/>
      <c r="C63" s="6"/>
      <c r="D63" s="6"/>
      <c r="E63" s="6" t="s">
        <v>110</v>
      </c>
      <c r="F63" s="9">
        <v>0</v>
      </c>
      <c r="G63" s="9"/>
      <c r="H63" s="9">
        <v>300</v>
      </c>
      <c r="I63" s="9"/>
      <c r="J63" s="9">
        <f t="shared" si="1"/>
        <v>-300</v>
      </c>
      <c r="L63" s="30"/>
    </row>
    <row r="64" spans="1:12" x14ac:dyDescent="0.25">
      <c r="A64" s="6"/>
      <c r="B64" s="6"/>
      <c r="C64" s="6"/>
      <c r="D64" s="6"/>
      <c r="E64" s="6" t="s">
        <v>111</v>
      </c>
      <c r="F64" s="9">
        <v>13518.64</v>
      </c>
      <c r="G64" s="9"/>
      <c r="H64" s="9">
        <v>12000</v>
      </c>
      <c r="I64" s="9"/>
      <c r="J64" s="9">
        <f t="shared" si="1"/>
        <v>1518.64</v>
      </c>
      <c r="L64" s="8"/>
    </row>
    <row r="65" spans="1:12" x14ac:dyDescent="0.25">
      <c r="A65" s="6"/>
      <c r="B65" s="6"/>
      <c r="C65" s="6"/>
      <c r="D65" s="6"/>
      <c r="E65" s="6" t="s">
        <v>112</v>
      </c>
      <c r="F65" s="9">
        <v>7853.06</v>
      </c>
      <c r="G65" s="9"/>
      <c r="H65" s="9">
        <v>5300</v>
      </c>
      <c r="I65" s="9"/>
      <c r="J65" s="9">
        <f t="shared" si="1"/>
        <v>2553.06</v>
      </c>
      <c r="L65" s="8"/>
    </row>
    <row r="66" spans="1:12" x14ac:dyDescent="0.25">
      <c r="A66" s="6"/>
      <c r="B66" s="6"/>
      <c r="C66" s="6"/>
      <c r="D66" s="6"/>
      <c r="E66" s="6" t="s">
        <v>113</v>
      </c>
      <c r="F66" s="9">
        <v>6618.06</v>
      </c>
      <c r="G66" s="9"/>
      <c r="H66" s="9">
        <v>5700</v>
      </c>
      <c r="I66" s="9"/>
      <c r="J66" s="9">
        <f t="shared" si="1"/>
        <v>918.06</v>
      </c>
    </row>
    <row r="67" spans="1:12" ht="45.75" x14ac:dyDescent="0.25">
      <c r="A67" s="6"/>
      <c r="B67" s="6"/>
      <c r="C67" s="6"/>
      <c r="D67" s="6"/>
      <c r="E67" s="6" t="s">
        <v>114</v>
      </c>
      <c r="F67" s="9">
        <v>33915.68</v>
      </c>
      <c r="G67" s="9"/>
      <c r="H67" s="9">
        <v>44650</v>
      </c>
      <c r="I67" s="9"/>
      <c r="J67" s="9">
        <f t="shared" si="1"/>
        <v>-10734.32</v>
      </c>
      <c r="L67" s="8" t="s">
        <v>171</v>
      </c>
    </row>
    <row r="68" spans="1:12" x14ac:dyDescent="0.25">
      <c r="A68" s="6"/>
      <c r="B68" s="6"/>
      <c r="C68" s="6"/>
      <c r="D68" s="6"/>
      <c r="E68" s="6" t="s">
        <v>115</v>
      </c>
      <c r="F68" s="9">
        <v>0</v>
      </c>
      <c r="G68" s="9"/>
      <c r="H68" s="9">
        <v>1000</v>
      </c>
      <c r="I68" s="9"/>
      <c r="J68" s="9">
        <f t="shared" si="1"/>
        <v>-1000</v>
      </c>
    </row>
    <row r="69" spans="1:12" x14ac:dyDescent="0.25">
      <c r="A69" s="6"/>
      <c r="B69" s="6"/>
      <c r="C69" s="6"/>
      <c r="D69" s="6"/>
      <c r="E69" s="6" t="s">
        <v>116</v>
      </c>
      <c r="F69" s="9">
        <v>8889.77</v>
      </c>
      <c r="G69" s="9"/>
      <c r="H69" s="9">
        <v>5000</v>
      </c>
      <c r="I69" s="9"/>
      <c r="J69" s="9">
        <f t="shared" si="1"/>
        <v>3889.77</v>
      </c>
      <c r="L69" s="8"/>
    </row>
    <row r="70" spans="1:12" x14ac:dyDescent="0.25">
      <c r="A70" s="6"/>
      <c r="B70" s="6"/>
      <c r="C70" s="6"/>
      <c r="D70" s="6"/>
      <c r="E70" s="6" t="s">
        <v>117</v>
      </c>
      <c r="F70" s="9">
        <v>10139.65</v>
      </c>
      <c r="G70" s="9"/>
      <c r="H70" s="9">
        <v>10000</v>
      </c>
      <c r="I70" s="9"/>
      <c r="J70" s="9">
        <f t="shared" si="1"/>
        <v>139.65</v>
      </c>
      <c r="L70" s="8"/>
    </row>
    <row r="71" spans="1:12" x14ac:dyDescent="0.25">
      <c r="A71" s="6"/>
      <c r="B71" s="6"/>
      <c r="C71" s="6"/>
      <c r="D71" s="6"/>
      <c r="E71" s="6" t="s">
        <v>118</v>
      </c>
      <c r="F71" s="9">
        <v>16643.009999999998</v>
      </c>
      <c r="G71" s="9"/>
      <c r="H71" s="9">
        <v>16800</v>
      </c>
      <c r="I71" s="9"/>
      <c r="J71" s="9">
        <f t="shared" si="1"/>
        <v>-156.99</v>
      </c>
      <c r="L71" s="8"/>
    </row>
    <row r="72" spans="1:12" x14ac:dyDescent="0.25">
      <c r="A72" s="6"/>
      <c r="B72" s="6"/>
      <c r="C72" s="6"/>
      <c r="D72" s="6"/>
      <c r="E72" s="6" t="s">
        <v>119</v>
      </c>
      <c r="F72" s="9">
        <v>46155.19</v>
      </c>
      <c r="G72" s="9"/>
      <c r="H72" s="9">
        <v>48750</v>
      </c>
      <c r="I72" s="9"/>
      <c r="J72" s="9">
        <f t="shared" si="1"/>
        <v>-2594.81</v>
      </c>
      <c r="L72" s="15"/>
    </row>
    <row r="73" spans="1:12" x14ac:dyDescent="0.25">
      <c r="A73" s="6"/>
      <c r="B73" s="6"/>
      <c r="C73" s="6"/>
      <c r="D73" s="6"/>
      <c r="E73" s="6" t="s">
        <v>120</v>
      </c>
      <c r="F73" s="9">
        <v>6782.65</v>
      </c>
      <c r="G73" s="9"/>
      <c r="H73" s="9">
        <v>10800</v>
      </c>
      <c r="I73" s="9"/>
      <c r="J73" s="9">
        <f t="shared" si="1"/>
        <v>-4017.35</v>
      </c>
      <c r="L73" s="8"/>
    </row>
    <row r="74" spans="1:12" x14ac:dyDescent="0.25">
      <c r="A74" s="6"/>
      <c r="B74" s="6"/>
      <c r="C74" s="6"/>
      <c r="D74" s="6"/>
      <c r="E74" s="6" t="s">
        <v>121</v>
      </c>
      <c r="F74" s="9">
        <v>8602.33</v>
      </c>
      <c r="G74" s="9"/>
      <c r="H74" s="9">
        <v>10400</v>
      </c>
      <c r="I74" s="9"/>
      <c r="J74" s="9">
        <f t="shared" si="1"/>
        <v>-1797.67</v>
      </c>
      <c r="L74" s="8"/>
    </row>
    <row r="75" spans="1:12" x14ac:dyDescent="0.25">
      <c r="A75" s="6"/>
      <c r="B75" s="6"/>
      <c r="C75" s="6"/>
      <c r="D75" s="6"/>
      <c r="E75" s="6" t="s">
        <v>122</v>
      </c>
      <c r="F75" s="9">
        <v>483.59</v>
      </c>
      <c r="G75" s="9"/>
      <c r="H75" s="9">
        <v>800</v>
      </c>
      <c r="I75" s="9"/>
      <c r="J75" s="9">
        <f t="shared" si="1"/>
        <v>-316.41000000000003</v>
      </c>
      <c r="L75" s="8"/>
    </row>
    <row r="76" spans="1:12" x14ac:dyDescent="0.25">
      <c r="A76" s="6"/>
      <c r="B76" s="6"/>
      <c r="C76" s="6"/>
      <c r="D76" s="6"/>
      <c r="E76" s="6" t="s">
        <v>123</v>
      </c>
      <c r="F76" s="9">
        <v>7163.89</v>
      </c>
      <c r="G76" s="9"/>
      <c r="H76" s="9">
        <v>11000</v>
      </c>
      <c r="I76" s="9"/>
      <c r="J76" s="9">
        <f t="shared" si="1"/>
        <v>-3836.11</v>
      </c>
      <c r="L76" s="8"/>
    </row>
    <row r="77" spans="1:12" x14ac:dyDescent="0.25">
      <c r="A77" s="6"/>
      <c r="B77" s="6"/>
      <c r="C77" s="6"/>
      <c r="D77" s="6"/>
      <c r="E77" s="6" t="s">
        <v>124</v>
      </c>
      <c r="F77" s="9">
        <v>360.83</v>
      </c>
      <c r="G77" s="9"/>
      <c r="H77" s="9">
        <v>900</v>
      </c>
      <c r="I77" s="9"/>
      <c r="J77" s="9">
        <f t="shared" si="1"/>
        <v>-539.16999999999996</v>
      </c>
      <c r="L77" s="8"/>
    </row>
    <row r="78" spans="1:12" x14ac:dyDescent="0.25">
      <c r="A78" s="6"/>
      <c r="B78" s="6"/>
      <c r="C78" s="6"/>
      <c r="D78" s="6"/>
      <c r="E78" s="6" t="s">
        <v>125</v>
      </c>
      <c r="F78" s="9">
        <f>13924.66+13156.08</f>
        <v>27080.739999999998</v>
      </c>
      <c r="G78" s="9"/>
      <c r="H78" s="9">
        <v>34500</v>
      </c>
      <c r="I78" s="9"/>
      <c r="J78" s="9">
        <f t="shared" si="1"/>
        <v>-7419.26</v>
      </c>
      <c r="L78" s="8"/>
    </row>
    <row r="79" spans="1:12" ht="16.5" thickBot="1" x14ac:dyDescent="0.3">
      <c r="A79" s="6"/>
      <c r="B79" s="6"/>
      <c r="C79" s="6"/>
      <c r="D79" s="6"/>
      <c r="E79" s="6" t="s">
        <v>126</v>
      </c>
      <c r="F79" s="11">
        <v>13898.66</v>
      </c>
      <c r="G79" s="9"/>
      <c r="H79" s="11">
        <v>14400</v>
      </c>
      <c r="I79" s="9"/>
      <c r="J79" s="11">
        <f t="shared" si="1"/>
        <v>-501.34</v>
      </c>
    </row>
    <row r="80" spans="1:12" ht="16.5" thickBot="1" x14ac:dyDescent="0.3">
      <c r="A80" s="6"/>
      <c r="B80" s="6"/>
      <c r="C80" s="6"/>
      <c r="D80" s="6" t="s">
        <v>33</v>
      </c>
      <c r="E80" s="6"/>
      <c r="F80" s="12">
        <f>ROUND(SUM(F29:F79),5)</f>
        <v>1773746.12</v>
      </c>
      <c r="G80" s="9"/>
      <c r="H80" s="12">
        <f>ROUND(SUM(H29:H79),5)</f>
        <v>1889300</v>
      </c>
      <c r="I80" s="9"/>
      <c r="J80" s="12">
        <f t="shared" si="1"/>
        <v>-115553.88</v>
      </c>
    </row>
    <row r="81" spans="1:12" x14ac:dyDescent="0.25">
      <c r="A81" s="6"/>
      <c r="B81" s="6" t="s">
        <v>34</v>
      </c>
      <c r="C81" s="6"/>
      <c r="D81" s="6"/>
      <c r="E81" s="6"/>
      <c r="F81" s="9">
        <f>ROUND(F6+F28-F80,5)</f>
        <v>51196.94</v>
      </c>
      <c r="G81" s="9"/>
      <c r="H81" s="9">
        <f>ROUND(H6+H28-H80,5)</f>
        <v>-47400</v>
      </c>
      <c r="I81" s="9"/>
      <c r="J81" s="9">
        <f t="shared" si="1"/>
        <v>98596.94</v>
      </c>
      <c r="L81" s="28" t="s">
        <v>156</v>
      </c>
    </row>
    <row r="82" spans="1:12" x14ac:dyDescent="0.25">
      <c r="A82" s="6"/>
      <c r="B82" s="6" t="s">
        <v>35</v>
      </c>
      <c r="C82" s="6"/>
      <c r="D82" s="6"/>
      <c r="E82" s="6"/>
      <c r="F82" s="9"/>
      <c r="G82" s="9"/>
      <c r="H82" s="9"/>
      <c r="I82" s="9"/>
      <c r="J82" s="9"/>
    </row>
    <row r="83" spans="1:12" x14ac:dyDescent="0.25">
      <c r="A83" s="6"/>
      <c r="B83" s="6"/>
      <c r="C83" s="6" t="s">
        <v>36</v>
      </c>
      <c r="D83" s="6"/>
      <c r="E83" s="6"/>
      <c r="F83" s="9"/>
      <c r="G83" s="9"/>
      <c r="H83" s="9"/>
      <c r="I83" s="9"/>
      <c r="J83" s="9"/>
    </row>
    <row r="84" spans="1:12" x14ac:dyDescent="0.25">
      <c r="A84" s="6"/>
      <c r="B84" s="6"/>
      <c r="C84" s="6"/>
      <c r="D84" s="6" t="s">
        <v>197</v>
      </c>
      <c r="E84" s="6"/>
      <c r="F84" s="9">
        <v>-720.96</v>
      </c>
      <c r="G84" s="9"/>
      <c r="H84" s="9"/>
      <c r="I84" s="9"/>
      <c r="J84" s="9"/>
    </row>
    <row r="85" spans="1:12" x14ac:dyDescent="0.25">
      <c r="A85" s="6"/>
      <c r="B85" s="6"/>
      <c r="C85" s="6"/>
      <c r="D85" s="6" t="s">
        <v>127</v>
      </c>
      <c r="E85" s="6"/>
      <c r="F85" s="9">
        <v>206.75</v>
      </c>
      <c r="G85" s="9"/>
      <c r="H85" s="9">
        <v>0</v>
      </c>
      <c r="I85" s="9"/>
      <c r="J85" s="9">
        <f t="shared" ref="J85:J92" si="2">ROUND((F85-H85),5)</f>
        <v>206.75</v>
      </c>
    </row>
    <row r="86" spans="1:12" x14ac:dyDescent="0.25">
      <c r="A86" s="6"/>
      <c r="B86" s="6"/>
      <c r="C86" s="6"/>
      <c r="D86" s="6" t="s">
        <v>128</v>
      </c>
      <c r="E86" s="6"/>
      <c r="F86" s="9">
        <v>56009.57</v>
      </c>
      <c r="G86" s="9"/>
      <c r="H86" s="9">
        <v>36000</v>
      </c>
      <c r="I86" s="9"/>
      <c r="J86" s="9">
        <f t="shared" si="2"/>
        <v>20009.57</v>
      </c>
    </row>
    <row r="87" spans="1:12" x14ac:dyDescent="0.25">
      <c r="A87" s="6"/>
      <c r="B87" s="6"/>
      <c r="C87" s="6"/>
      <c r="D87" s="6" t="s">
        <v>129</v>
      </c>
      <c r="E87" s="6"/>
      <c r="F87" s="9">
        <v>-16427.5</v>
      </c>
      <c r="G87" s="9"/>
      <c r="H87" s="9">
        <v>0</v>
      </c>
      <c r="I87" s="9"/>
      <c r="J87" s="9">
        <f t="shared" si="2"/>
        <v>-16427.5</v>
      </c>
    </row>
    <row r="88" spans="1:12" x14ac:dyDescent="0.25">
      <c r="A88" s="6"/>
      <c r="B88" s="6"/>
      <c r="C88" s="6"/>
      <c r="D88" s="6" t="s">
        <v>130</v>
      </c>
      <c r="E88" s="6"/>
      <c r="F88" s="9">
        <v>107100.76</v>
      </c>
      <c r="G88" s="9"/>
      <c r="H88" s="9">
        <v>43200</v>
      </c>
      <c r="I88" s="9"/>
      <c r="J88" s="9">
        <f t="shared" si="2"/>
        <v>63900.76</v>
      </c>
    </row>
    <row r="89" spans="1:12" ht="16.5" thickBot="1" x14ac:dyDescent="0.3">
      <c r="A89" s="6"/>
      <c r="B89" s="6"/>
      <c r="C89" s="6"/>
      <c r="D89" s="6" t="s">
        <v>131</v>
      </c>
      <c r="E89" s="6"/>
      <c r="F89" s="11">
        <v>-14077.3</v>
      </c>
      <c r="G89" s="9"/>
      <c r="H89" s="11">
        <v>-12000</v>
      </c>
      <c r="I89" s="9"/>
      <c r="J89" s="11">
        <f t="shared" si="2"/>
        <v>-2077.3000000000002</v>
      </c>
    </row>
    <row r="90" spans="1:12" ht="16.5" thickBot="1" x14ac:dyDescent="0.3">
      <c r="A90" s="6"/>
      <c r="B90" s="6"/>
      <c r="C90" s="6" t="s">
        <v>37</v>
      </c>
      <c r="D90" s="6"/>
      <c r="E90" s="6"/>
      <c r="F90" s="13">
        <f>ROUND(SUM(F83:F89),5)</f>
        <v>132091.32</v>
      </c>
      <c r="G90" s="9"/>
      <c r="H90" s="13">
        <f>ROUND(SUM(H83:H89),5)</f>
        <v>67200</v>
      </c>
      <c r="I90" s="9"/>
      <c r="J90" s="13">
        <f t="shared" si="2"/>
        <v>64891.32</v>
      </c>
    </row>
    <row r="91" spans="1:12" ht="16.5" thickBot="1" x14ac:dyDescent="0.3">
      <c r="A91" s="6"/>
      <c r="B91" s="6" t="s">
        <v>38</v>
      </c>
      <c r="C91" s="6"/>
      <c r="D91" s="6"/>
      <c r="E91" s="6"/>
      <c r="F91" s="13">
        <f>ROUND(F82+F90,5)</f>
        <v>132091.32</v>
      </c>
      <c r="G91" s="9"/>
      <c r="H91" s="13">
        <f>ROUND(H82+H90,5)</f>
        <v>67200</v>
      </c>
      <c r="I91" s="9"/>
      <c r="J91" s="13">
        <f t="shared" si="2"/>
        <v>64891.32</v>
      </c>
    </row>
    <row r="92" spans="1:12" s="7" customFormat="1" ht="24" customHeight="1" thickBot="1" x14ac:dyDescent="0.3">
      <c r="A92" s="2" t="s">
        <v>25</v>
      </c>
      <c r="B92" s="2"/>
      <c r="C92" s="2"/>
      <c r="D92" s="2"/>
      <c r="E92" s="2"/>
      <c r="F92" s="18">
        <f>ROUND(F81+F91,5)</f>
        <v>183288.26</v>
      </c>
      <c r="G92" s="19"/>
      <c r="H92" s="18">
        <f>ROUND(H81+H91,5)</f>
        <v>19800</v>
      </c>
      <c r="I92" s="19"/>
      <c r="J92" s="18">
        <f t="shared" si="2"/>
        <v>163488.26</v>
      </c>
      <c r="L92"/>
    </row>
    <row r="93" spans="1:12" ht="16.5" thickTop="1" x14ac:dyDescent="0.25"/>
    <row r="94" spans="1:12" x14ac:dyDescent="0.25">
      <c r="F94" s="31">
        <f>+'Income Statement'!F94-'Actual vs Budget'!F92</f>
        <v>0</v>
      </c>
      <c r="L94" s="7"/>
    </row>
  </sheetData>
  <mergeCells count="3">
    <mergeCell ref="A1:L1"/>
    <mergeCell ref="A2:L2"/>
    <mergeCell ref="A3:L3"/>
  </mergeCells>
  <pageMargins left="0.7" right="0.7" top="0.75" bottom="0.75" header="0.1" footer="0.3"/>
  <pageSetup scale="59" fitToHeight="0" orientation="portrait" r:id="rId1"/>
  <headerFooter>
    <oddFooter>&amp;R&amp;"Arial,Bold"&amp;12 Page &amp;P of &amp;N</oddFooter>
  </headerFooter>
  <drawing r:id="rId2"/>
  <legacyDrawing r:id="rId3"/>
  <controls>
    <mc:AlternateContent xmlns:mc="http://schemas.openxmlformats.org/markup-compatibility/2006">
      <mc:Choice Requires="x14">
        <control shapeId="19251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92513" r:id="rId4" name="FILTER"/>
      </mc:Fallback>
    </mc:AlternateContent>
    <mc:AlternateContent xmlns:mc="http://schemas.openxmlformats.org/markup-compatibility/2006">
      <mc:Choice Requires="x14">
        <control shapeId="19251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92514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F38"/>
  <sheetViews>
    <sheetView tabSelected="1" workbookViewId="0">
      <selection activeCell="F23" sqref="F23"/>
    </sheetView>
  </sheetViews>
  <sheetFormatPr defaultRowHeight="15.75" x14ac:dyDescent="0.25"/>
  <cols>
    <col min="1" max="4" width="3" style="25" customWidth="1"/>
    <col min="5" max="5" width="42" style="25" customWidth="1"/>
    <col min="6" max="6" width="14.7109375" style="26" bestFit="1" customWidth="1"/>
  </cols>
  <sheetData>
    <row r="1" spans="1:6" x14ac:dyDescent="0.25">
      <c r="A1" s="33" t="s">
        <v>42</v>
      </c>
      <c r="B1" s="33"/>
      <c r="C1" s="33"/>
      <c r="D1" s="33"/>
      <c r="E1" s="33"/>
      <c r="F1" s="33"/>
    </row>
    <row r="2" spans="1:6" x14ac:dyDescent="0.25">
      <c r="A2" s="33" t="s">
        <v>162</v>
      </c>
      <c r="B2" s="33"/>
      <c r="C2" s="33"/>
      <c r="D2" s="33"/>
      <c r="E2" s="33"/>
      <c r="F2" s="33"/>
    </row>
    <row r="3" spans="1:6" x14ac:dyDescent="0.25">
      <c r="A3" s="33" t="s">
        <v>194</v>
      </c>
      <c r="B3" s="33"/>
      <c r="C3" s="33"/>
      <c r="D3" s="33"/>
      <c r="E3" s="33"/>
      <c r="F3" s="33"/>
    </row>
    <row r="4" spans="1:6" s="24" customFormat="1" ht="16.5" thickBot="1" x14ac:dyDescent="0.3">
      <c r="A4" s="22"/>
      <c r="B4" s="22"/>
      <c r="C4" s="22"/>
      <c r="D4" s="22"/>
      <c r="E4" s="22"/>
      <c r="F4" s="16" t="s">
        <v>195</v>
      </c>
    </row>
    <row r="5" spans="1:6" ht="16.5" thickTop="1" x14ac:dyDescent="0.25">
      <c r="A5" s="6"/>
      <c r="B5" s="6"/>
      <c r="C5" s="6" t="s">
        <v>139</v>
      </c>
      <c r="D5" s="6"/>
      <c r="E5" s="6"/>
      <c r="F5" s="5"/>
    </row>
    <row r="6" spans="1:6" x14ac:dyDescent="0.25">
      <c r="A6" s="6"/>
      <c r="B6" s="6"/>
      <c r="C6" s="6"/>
      <c r="D6" s="6" t="s">
        <v>25</v>
      </c>
      <c r="E6" s="6"/>
      <c r="F6" s="9">
        <f>180616.09+18004.25-15332.08</f>
        <v>183288.26</v>
      </c>
    </row>
    <row r="7" spans="1:6" x14ac:dyDescent="0.25">
      <c r="A7" s="6"/>
      <c r="B7" s="6"/>
      <c r="C7" s="6"/>
      <c r="D7" s="6" t="s">
        <v>140</v>
      </c>
      <c r="E7" s="6"/>
      <c r="F7" s="9"/>
    </row>
    <row r="8" spans="1:6" x14ac:dyDescent="0.25">
      <c r="A8" s="6"/>
      <c r="B8" s="6"/>
      <c r="C8" s="6"/>
      <c r="D8" s="6" t="s">
        <v>141</v>
      </c>
      <c r="E8" s="6"/>
      <c r="F8" s="9"/>
    </row>
    <row r="9" spans="1:6" x14ac:dyDescent="0.25">
      <c r="A9" s="6"/>
      <c r="B9" s="6"/>
      <c r="C9" s="6"/>
      <c r="D9" s="6"/>
      <c r="E9" s="6" t="s">
        <v>190</v>
      </c>
      <c r="F9" s="9">
        <v>-11465.14</v>
      </c>
    </row>
    <row r="10" spans="1:6" x14ac:dyDescent="0.25">
      <c r="A10" s="6"/>
      <c r="B10" s="6"/>
      <c r="C10" s="6"/>
      <c r="D10" s="6"/>
      <c r="E10" s="6" t="s">
        <v>53</v>
      </c>
      <c r="F10" s="9">
        <v>3083.89</v>
      </c>
    </row>
    <row r="11" spans="1:6" x14ac:dyDescent="0.25">
      <c r="A11" s="6"/>
      <c r="B11" s="6"/>
      <c r="C11" s="6"/>
      <c r="D11" s="6"/>
      <c r="E11" s="6" t="s">
        <v>54</v>
      </c>
      <c r="F11" s="9">
        <v>4019.77</v>
      </c>
    </row>
    <row r="12" spans="1:6" x14ac:dyDescent="0.25">
      <c r="A12" s="6"/>
      <c r="B12" s="6"/>
      <c r="C12" s="6"/>
      <c r="D12" s="6"/>
      <c r="E12" s="6" t="s">
        <v>60</v>
      </c>
      <c r="F12" s="9">
        <f>-23142.72+28017.17</f>
        <v>4874.4499999999971</v>
      </c>
    </row>
    <row r="13" spans="1:6" x14ac:dyDescent="0.25">
      <c r="A13" s="6"/>
      <c r="B13" s="6"/>
      <c r="C13" s="6"/>
      <c r="D13" s="6"/>
      <c r="E13" s="6" t="s">
        <v>59</v>
      </c>
      <c r="F13" s="9">
        <f>-18180.32+19699.76</f>
        <v>1519.4399999999987</v>
      </c>
    </row>
    <row r="14" spans="1:6" x14ac:dyDescent="0.25">
      <c r="A14" s="6"/>
      <c r="B14" s="6"/>
      <c r="C14" s="6"/>
      <c r="D14" s="6"/>
      <c r="E14" s="6" t="s">
        <v>58</v>
      </c>
      <c r="F14" s="9">
        <f>-2558.37+10810.1</f>
        <v>8251.73</v>
      </c>
    </row>
    <row r="15" spans="1:6" x14ac:dyDescent="0.25">
      <c r="A15" s="6"/>
      <c r="B15" s="6"/>
      <c r="C15" s="6"/>
      <c r="D15" s="6"/>
      <c r="E15" s="6" t="s">
        <v>200</v>
      </c>
      <c r="F15" s="9">
        <v>13156.08</v>
      </c>
    </row>
    <row r="16" spans="1:6" x14ac:dyDescent="0.25">
      <c r="A16" s="6"/>
      <c r="B16" s="6"/>
      <c r="C16" s="6"/>
      <c r="D16" s="6"/>
      <c r="E16" s="6" t="s">
        <v>62</v>
      </c>
      <c r="F16" s="9">
        <f>-64435.88-2083.89-1000</f>
        <v>-67519.77</v>
      </c>
    </row>
    <row r="17" spans="1:6" x14ac:dyDescent="0.25">
      <c r="A17" s="6"/>
      <c r="B17" s="6"/>
      <c r="C17" s="6"/>
      <c r="D17" s="6"/>
      <c r="E17" s="6" t="s">
        <v>63</v>
      </c>
      <c r="F17" s="9">
        <v>18864.53</v>
      </c>
    </row>
    <row r="18" spans="1:6" x14ac:dyDescent="0.25">
      <c r="A18" s="6"/>
      <c r="B18" s="6"/>
      <c r="C18" s="6"/>
      <c r="D18" s="6"/>
      <c r="E18" s="6" t="s">
        <v>66</v>
      </c>
      <c r="F18" s="9">
        <v>-107.26</v>
      </c>
    </row>
    <row r="19" spans="1:6" x14ac:dyDescent="0.25">
      <c r="A19" s="6"/>
      <c r="B19" s="6"/>
      <c r="C19" s="6"/>
      <c r="D19" s="6"/>
      <c r="E19" s="6" t="s">
        <v>65</v>
      </c>
      <c r="F19" s="9">
        <v>-2478.94</v>
      </c>
    </row>
    <row r="20" spans="1:6" x14ac:dyDescent="0.25">
      <c r="A20" s="6"/>
      <c r="B20" s="6"/>
      <c r="C20" s="6"/>
      <c r="D20" s="6"/>
      <c r="E20" s="6" t="s">
        <v>164</v>
      </c>
      <c r="F20" s="9">
        <v>59872.5</v>
      </c>
    </row>
    <row r="21" spans="1:6" x14ac:dyDescent="0.25">
      <c r="A21" s="6"/>
      <c r="B21" s="6"/>
      <c r="C21" s="6"/>
      <c r="D21" s="6"/>
      <c r="E21" s="6" t="s">
        <v>64</v>
      </c>
      <c r="F21" s="9">
        <v>13900</v>
      </c>
    </row>
    <row r="22" spans="1:6" x14ac:dyDescent="0.25">
      <c r="A22" s="6"/>
      <c r="B22" s="6"/>
      <c r="C22" s="6"/>
      <c r="D22" s="6"/>
      <c r="E22" s="6" t="s">
        <v>142</v>
      </c>
      <c r="F22" s="9">
        <v>49039.4</v>
      </c>
    </row>
    <row r="23" spans="1:6" ht="16.5" thickBot="1" x14ac:dyDescent="0.3">
      <c r="A23" s="6"/>
      <c r="B23" s="6"/>
      <c r="C23" s="6"/>
      <c r="D23" s="6"/>
      <c r="E23" s="6" t="s">
        <v>68</v>
      </c>
      <c r="F23" s="10">
        <v>-3499</v>
      </c>
    </row>
    <row r="24" spans="1:6" x14ac:dyDescent="0.25">
      <c r="A24" s="6"/>
      <c r="B24" s="6"/>
      <c r="C24" s="6" t="s">
        <v>143</v>
      </c>
      <c r="D24" s="6"/>
      <c r="E24" s="6"/>
      <c r="F24" s="9">
        <f>ROUND(SUM(F5:F6)+SUM(F9:F23),5)</f>
        <v>274799.94</v>
      </c>
    </row>
    <row r="25" spans="1:6" x14ac:dyDescent="0.25">
      <c r="A25" s="6"/>
      <c r="B25" s="6"/>
      <c r="C25" s="6" t="s">
        <v>144</v>
      </c>
      <c r="D25" s="6"/>
      <c r="E25" s="6"/>
      <c r="F25" s="9"/>
    </row>
    <row r="26" spans="1:6" x14ac:dyDescent="0.25">
      <c r="A26" s="6"/>
      <c r="B26" s="6"/>
      <c r="C26" s="6"/>
      <c r="D26" s="6" t="s">
        <v>55</v>
      </c>
      <c r="E26" s="6"/>
      <c r="F26" s="9">
        <f>9412.65-10810.1</f>
        <v>-1397.4500000000007</v>
      </c>
    </row>
    <row r="27" spans="1:6" x14ac:dyDescent="0.25">
      <c r="A27" s="6"/>
      <c r="B27" s="6"/>
      <c r="C27" s="6"/>
      <c r="D27" s="6" t="s">
        <v>57</v>
      </c>
      <c r="E27" s="6"/>
      <c r="F27" s="9">
        <f>24269.11-28017.17</f>
        <v>-3748.0599999999977</v>
      </c>
    </row>
    <row r="28" spans="1:6" x14ac:dyDescent="0.25">
      <c r="A28" s="6"/>
      <c r="B28" s="6"/>
      <c r="C28" s="6"/>
      <c r="D28" s="6" t="s">
        <v>61</v>
      </c>
      <c r="E28" s="6"/>
      <c r="F28" s="32">
        <f>-113601.28-15920.36</f>
        <v>-129521.64</v>
      </c>
    </row>
    <row r="29" spans="1:6" x14ac:dyDescent="0.25">
      <c r="A29" s="6"/>
      <c r="B29" s="6"/>
      <c r="C29" s="6" t="s">
        <v>145</v>
      </c>
      <c r="D29" s="6"/>
      <c r="E29" s="6"/>
      <c r="F29" s="9">
        <f>ROUND(SUM(F25:F28),5)</f>
        <v>-134667.15</v>
      </c>
    </row>
    <row r="30" spans="1:6" x14ac:dyDescent="0.25">
      <c r="A30" s="6"/>
      <c r="B30" s="6"/>
      <c r="C30" s="6" t="s">
        <v>146</v>
      </c>
      <c r="D30" s="6"/>
      <c r="E30" s="6"/>
      <c r="F30" s="9"/>
    </row>
    <row r="31" spans="1:6" x14ac:dyDescent="0.25">
      <c r="A31" s="6"/>
      <c r="B31" s="6"/>
      <c r="C31" s="6"/>
      <c r="D31" s="6" t="s">
        <v>67</v>
      </c>
      <c r="E31" s="6"/>
      <c r="F31" s="9">
        <v>-3149.97</v>
      </c>
    </row>
    <row r="32" spans="1:6" ht="16.5" thickBot="1" x14ac:dyDescent="0.3">
      <c r="A32" s="6"/>
      <c r="B32" s="6"/>
      <c r="C32" s="6"/>
      <c r="D32" s="6" t="s">
        <v>69</v>
      </c>
      <c r="E32" s="6"/>
      <c r="F32" s="11">
        <v>-3058.57</v>
      </c>
    </row>
    <row r="33" spans="1:6" ht="16.5" thickBot="1" x14ac:dyDescent="0.3">
      <c r="A33" s="6"/>
      <c r="B33" s="6"/>
      <c r="C33" s="6" t="s">
        <v>147</v>
      </c>
      <c r="D33" s="6"/>
      <c r="E33" s="6"/>
      <c r="F33" s="12">
        <f>ROUND(SUM(F30:F32),5)</f>
        <v>-6208.54</v>
      </c>
    </row>
    <row r="34" spans="1:6" x14ac:dyDescent="0.25">
      <c r="A34" s="6"/>
      <c r="B34" s="6" t="s">
        <v>148</v>
      </c>
      <c r="C34" s="6"/>
      <c r="D34" s="6"/>
      <c r="E34" s="6"/>
      <c r="F34" s="9">
        <f>ROUND(F24+F29+F33,5)</f>
        <v>133924.25</v>
      </c>
    </row>
    <row r="35" spans="1:6" ht="16.5" thickBot="1" x14ac:dyDescent="0.3">
      <c r="A35" s="6"/>
      <c r="B35" s="6" t="s">
        <v>149</v>
      </c>
      <c r="C35" s="6"/>
      <c r="D35" s="6"/>
      <c r="E35" s="6"/>
      <c r="F35" s="11">
        <f>16045.76+7720</f>
        <v>23765.760000000002</v>
      </c>
    </row>
    <row r="36" spans="1:6" s="7" customFormat="1" ht="24" customHeight="1" thickBot="1" x14ac:dyDescent="0.3">
      <c r="A36" s="2" t="s">
        <v>150</v>
      </c>
      <c r="B36" s="2"/>
      <c r="C36" s="2"/>
      <c r="D36" s="2"/>
      <c r="E36" s="2"/>
      <c r="F36" s="18">
        <f>ROUND(SUM(F34:F35),5)</f>
        <v>157690.01</v>
      </c>
    </row>
    <row r="37" spans="1:6" ht="16.5" thickTop="1" x14ac:dyDescent="0.25"/>
    <row r="38" spans="1:6" x14ac:dyDescent="0.25">
      <c r="F38" s="31">
        <f>+F36-'Balance Sheet'!F12</f>
        <v>0</v>
      </c>
    </row>
  </sheetData>
  <mergeCells count="3">
    <mergeCell ref="A1:F1"/>
    <mergeCell ref="A2:F2"/>
    <mergeCell ref="A3:F3"/>
  </mergeCells>
  <pageMargins left="0.7" right="0.7" top="0.75" bottom="0.75" header="0.1" footer="0.3"/>
  <pageSetup orientation="portrait" r:id="rId1"/>
  <headerFooter>
    <oddFooter>&amp;R&amp;"Arial,Bold"&amp;12 Page &amp;P of &amp;N</oddFooter>
  </headerFooter>
  <drawing r:id="rId2"/>
  <legacyDrawing r:id="rId3"/>
  <controls>
    <mc:AlternateContent xmlns:mc="http://schemas.openxmlformats.org/markup-compatibility/2006">
      <mc:Choice Requires="x14">
        <control shapeId="19456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94562" r:id="rId4" name="HEADER"/>
      </mc:Fallback>
    </mc:AlternateContent>
    <mc:AlternateContent xmlns:mc="http://schemas.openxmlformats.org/markup-compatibility/2006">
      <mc:Choice Requires="x14">
        <control shapeId="19456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94561" r:id="rId6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Balance Sheet</vt:lpstr>
      <vt:lpstr>Income Statement</vt:lpstr>
      <vt:lpstr>Actual vs Budget</vt:lpstr>
      <vt:lpstr>Cash Flow</vt:lpstr>
      <vt:lpstr>Sheet2</vt:lpstr>
      <vt:lpstr>Sheet3</vt:lpstr>
      <vt:lpstr>'Actual vs Budget'!Print_Titles</vt:lpstr>
      <vt:lpstr>'Balance Sheet'!Print_Titles</vt:lpstr>
      <vt:lpstr>'Income Statement'!Print_Titles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Pete Thompson</cp:lastModifiedBy>
  <cp:lastPrinted>2017-01-30T16:34:08Z</cp:lastPrinted>
  <dcterms:created xsi:type="dcterms:W3CDTF">2014-01-21T17:56:46Z</dcterms:created>
  <dcterms:modified xsi:type="dcterms:W3CDTF">2017-02-09T21:30:14Z</dcterms:modified>
</cp:coreProperties>
</file>